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7100" windowHeight="9852" activeTab="1"/>
  </bookViews>
  <sheets>
    <sheet name="Krycí list" sheetId="1" r:id="rId1"/>
    <sheet name="Rekapitulace" sheetId="2" r:id="rId2"/>
    <sheet name="Stavební rozpočet" sheetId="3" r:id="rId3"/>
  </sheets>
  <externalReferences>
    <externalReference r:id="rId6"/>
  </externalReferences>
  <definedNames>
    <definedName name="cisloobjektu">'[1]Krycí list'!$A$4</definedName>
    <definedName name="cislostavby">'[1]Krycí list'!$A$6</definedName>
    <definedName name="Dodavka">'[1]Rekapitulace'!$G$9</definedName>
    <definedName name="HSV">'[1]Rekapitulace'!$E$9</definedName>
    <definedName name="HZS">'[1]Rekapitulace'!$I$9</definedName>
    <definedName name="Mont">'[1]Rekapitulace'!$H$9</definedName>
    <definedName name="nazevobjektu">'[1]Krycí list'!$C$4</definedName>
    <definedName name="nazevstavby">'[1]Krycí list'!$C$6</definedName>
    <definedName name="_xlnm.Print_Titles" localSheetId="2">'Stavební rozpočet'!$1:$7</definedName>
    <definedName name="_xlnm.Print_Area" localSheetId="0">'Krycí list'!$A$1:$G$44</definedName>
    <definedName name="_xlnm.Print_Area" localSheetId="1">'Rekapitulace'!$A$1:$I$53</definedName>
    <definedName name="_xlnm.Print_Area" localSheetId="2">'Stavební rozpočet'!$A$1:$L$97</definedName>
    <definedName name="PocetMJ">'Krycí list'!$G$7</definedName>
    <definedName name="PSV">'[1]Rekapitulace'!$F$9</definedName>
    <definedName name="SazbaDPH1">'Krycí list'!$C$29</definedName>
    <definedName name="SazbaDPH2">'Krycí list'!$C$31</definedName>
    <definedName name="VRN">'[1]Rekapitulace'!$H$22</definedName>
  </definedNames>
  <calcPr fullCalcOnLoad="1"/>
</workbook>
</file>

<file path=xl/sharedStrings.xml><?xml version="1.0" encoding="utf-8"?>
<sst xmlns="http://schemas.openxmlformats.org/spreadsheetml/2006/main" count="465" uniqueCount="292">
  <si>
    <t>Název stavby: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</si>
  <si>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</si>
  <si>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</si>
  <si>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</si>
  <si>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</si>
  <si>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</si>
  <si>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</si>
  <si>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</si>
  <si>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</si>
  <si>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</si>
  <si>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</si>
  <si>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</si>
  <si>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</si>
  <si>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</si>
  <si>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</si>
  <si>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</si>
  <si>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</si>
  <si>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</si>
  <si>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</si>
  <si>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</si>
  <si>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</si>
  <si>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</si>
  <si>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</si>
  <si>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</si>
  <si>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</si>
  <si>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</si>
  <si>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</si>
  <si>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</si>
  <si>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</si>
  <si>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</si>
  <si>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</si>
  <si>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</si>
  <si>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</si>
  <si>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</si>
  <si>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</si>
  <si>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</si>
  <si>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</si>
  <si>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</si>
  <si>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</si>
  <si>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</si>
  <si>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</si>
  <si>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</si>
  <si>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</si>
  <si>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</si>
  <si>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</si>
  <si>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</si>
  <si>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</si>
  <si>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</si>
  <si>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</si>
  <si>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</si>
  <si>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</si>
  <si>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</si>
  <si>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</si>
  <si>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</si>
  <si>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</si>
  <si>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</si>
  <si>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</si>
  <si>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</si>
  <si>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</si>
  <si>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</si>
  <si>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</si>
  <si>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</si>
  <si>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Objekt</t>
  </si>
  <si>
    <t>a</t>
  </si>
  <si>
    <t>b</t>
  </si>
  <si>
    <t>c</t>
  </si>
  <si>
    <t>d</t>
  </si>
  <si>
    <t>e</t>
  </si>
  <si>
    <t>Kód</t>
  </si>
  <si>
    <t>M20VD</t>
  </si>
  <si>
    <t>20010VD</t>
  </si>
  <si>
    <t>20011VD</t>
  </si>
  <si>
    <t>2004VD</t>
  </si>
  <si>
    <t>2005VD</t>
  </si>
  <si>
    <t>2006VD</t>
  </si>
  <si>
    <t>2007VD</t>
  </si>
  <si>
    <t>2008VD</t>
  </si>
  <si>
    <t>2009VD</t>
  </si>
  <si>
    <t>M21</t>
  </si>
  <si>
    <t>210010005RT1</t>
  </si>
  <si>
    <t>210010102RT1</t>
  </si>
  <si>
    <t>210010102R00</t>
  </si>
  <si>
    <t>210010351RT1</t>
  </si>
  <si>
    <t>210020651RT3</t>
  </si>
  <si>
    <t>210020952RT1</t>
  </si>
  <si>
    <t>210021061R00</t>
  </si>
  <si>
    <t>210100001R00</t>
  </si>
  <si>
    <t>210100251R00</t>
  </si>
  <si>
    <t>210100258R00</t>
  </si>
  <si>
    <t>210150601R00</t>
  </si>
  <si>
    <t>210150131R00</t>
  </si>
  <si>
    <t>210190002R00</t>
  </si>
  <si>
    <t>210200063R00</t>
  </si>
  <si>
    <t>210800105RT3</t>
  </si>
  <si>
    <t>210800106RT3</t>
  </si>
  <si>
    <t>210800117RT1</t>
  </si>
  <si>
    <t>210800115R00</t>
  </si>
  <si>
    <t>210810058RT1</t>
  </si>
  <si>
    <t>210860201R00</t>
  </si>
  <si>
    <t>210860223R00</t>
  </si>
  <si>
    <t>21VD</t>
  </si>
  <si>
    <t>210220452RT1</t>
  </si>
  <si>
    <t>210220452RT2</t>
  </si>
  <si>
    <t>210220321RT1</t>
  </si>
  <si>
    <t>210190001R00</t>
  </si>
  <si>
    <t>M10VD</t>
  </si>
  <si>
    <t>1003VD</t>
  </si>
  <si>
    <t>1004a1VD</t>
  </si>
  <si>
    <t>1004aVD</t>
  </si>
  <si>
    <t>1004bVD</t>
  </si>
  <si>
    <t>1004VD</t>
  </si>
  <si>
    <t>1024aVD</t>
  </si>
  <si>
    <t>10311VD</t>
  </si>
  <si>
    <t>10312VD</t>
  </si>
  <si>
    <t>1003dVD</t>
  </si>
  <si>
    <t>1003fVD</t>
  </si>
  <si>
    <t>1045VD</t>
  </si>
  <si>
    <t>1002VD</t>
  </si>
  <si>
    <t>1014aVD</t>
  </si>
  <si>
    <t>1002aVD</t>
  </si>
  <si>
    <t>1047VD</t>
  </si>
  <si>
    <t>1042VD</t>
  </si>
  <si>
    <t>OIP-Středočeský kraj-Rekonstrukce kotelny</t>
  </si>
  <si>
    <t>Zkrácený popis</t>
  </si>
  <si>
    <t>Elektroinstalace</t>
  </si>
  <si>
    <t>Regulace a měření</t>
  </si>
  <si>
    <t>Houkačka 106dB 230V AC</t>
  </si>
  <si>
    <t>Tlačítkový ovladač STOP v plastové skříni XAL-K174E</t>
  </si>
  <si>
    <t>Prostorový termostat 611 13T23 20-60°C IP65</t>
  </si>
  <si>
    <t>Regulátor tlaku vlnovcový 612 14 40-400kPa</t>
  </si>
  <si>
    <t>Snímač hladiny B2SHL,vč.elektrod BOSN1.1</t>
  </si>
  <si>
    <t>Napájecí zdroj úniku plynu NZ23</t>
  </si>
  <si>
    <t>Dvoustupňový dertektor plynu GI30</t>
  </si>
  <si>
    <t>Havarijní termostat RAK-ST.010FP 95°C IP43 do jímky+jímka se závitem 1/2"</t>
  </si>
  <si>
    <t>Elektromontáže</t>
  </si>
  <si>
    <t>Trubka ohebná pod omítku, typ  TO36</t>
  </si>
  <si>
    <t>Lišta z PH bez krabic,ulož. pevně,LV  40/40</t>
  </si>
  <si>
    <t>Lišta  krabic,ulož. pevně,L V 24/18</t>
  </si>
  <si>
    <t>Krabice ACIDUR lis. izol. 6455-11 do 4 mm2</t>
  </si>
  <si>
    <t>Konstrukce ocelová nosná pro zařízení do 5 kg</t>
  </si>
  <si>
    <t>Tabulka výstražná z polystyrénu formát A2 - A5</t>
  </si>
  <si>
    <t>Zednické práce vč.materiálu (omítání rýh  a kapes, sekání drážek a kapes a pod.)</t>
  </si>
  <si>
    <t>Ukončení vodičů v rozvaděči + zapojení do 2,5 mm2</t>
  </si>
  <si>
    <t>Ukončení celoplast. kabelů zákl./pás.do 4x10 mm2</t>
  </si>
  <si>
    <t>Ukončení celoplast. kabelů zákl./pás.do 5x4 mm2</t>
  </si>
  <si>
    <t>Revize elektroinstalace-Hromosvodu</t>
  </si>
  <si>
    <t>Ventilátor 230V/500W</t>
  </si>
  <si>
    <t>Montáž celoplechových rozvodnic do váhy 50 kg</t>
  </si>
  <si>
    <t>Svítidlo žárovkové 310902  60 W stropní s pruhem  a popisem poruchy</t>
  </si>
  <si>
    <t>Kabel CYKY-J 750 V 3x1,5 mm2</t>
  </si>
  <si>
    <t>Kabel CYKY 750 V 3x2,5 mm2</t>
  </si>
  <si>
    <t>Kabel CYKY 750 V 5x4 mm2</t>
  </si>
  <si>
    <t>Kabel CYKY 750 V 5x1,5 mm2</t>
  </si>
  <si>
    <t>Kabel CYKY-m 750 V 7 x 1,5 mm2 pevně uložený</t>
  </si>
  <si>
    <t>Kabel speciální JYTY s Al 3 x 1 mm volně uložený</t>
  </si>
  <si>
    <t>Kabel speciální JYTY s Al 4 x 1 mm pevně uložený</t>
  </si>
  <si>
    <t>Demontáže elektroinstalace</t>
  </si>
  <si>
    <t>Ochranné pospojování Vodič CYA 4 mm2</t>
  </si>
  <si>
    <t>Ochranné spoj. v prádel.,koupel.,Cu16 mm2 pevně</t>
  </si>
  <si>
    <t>Svorka na potrubí Bernard, včetně Cu pásku</t>
  </si>
  <si>
    <t>Montáž celoplechových rozvodnic do váhy 20 kg</t>
  </si>
  <si>
    <t>Rozváděč RK</t>
  </si>
  <si>
    <t>Vypínač APN32/3</t>
  </si>
  <si>
    <t>Řadová svorka RSA-4</t>
  </si>
  <si>
    <t>Nulová svorka PD-RZA-SB36 vč.držáku</t>
  </si>
  <si>
    <t>Vývodka do P42</t>
  </si>
  <si>
    <t>Propojovací lišta 25A vč ukončení</t>
  </si>
  <si>
    <t>Rozváděč OEZ-NP65 0404020 IP54/20</t>
  </si>
  <si>
    <t>Multifunkční časové relé se spožděným rozběhem CRM 91H</t>
  </si>
  <si>
    <t>Vypínací cívka pro jistič VC napěťová pro vypínač APN32A1</t>
  </si>
  <si>
    <t>Ovladač ELECO OFNN-02-K1-5</t>
  </si>
  <si>
    <t>Ovladač ELECO OODNAA-05-K1-5</t>
  </si>
  <si>
    <t>spínací jednotka  OPJ 99.5</t>
  </si>
  <si>
    <t>Signalizační jednotka IE-8/II do panelu</t>
  </si>
  <si>
    <t>Jistič LPN/B/1 do 25A</t>
  </si>
  <si>
    <t>Úprava stávajícího rozváděče RH</t>
  </si>
  <si>
    <t>Úprava stávajícího rozváděče RH vč. materiálu</t>
  </si>
  <si>
    <t>Jistič LPN/B/3 do 25A</t>
  </si>
  <si>
    <t>Hlídací relé napětí HRN 55N</t>
  </si>
  <si>
    <t>Svorkovnicová skříň dt-1</t>
  </si>
  <si>
    <t>Skříň HENSEL Mi90101 15/30</t>
  </si>
  <si>
    <t>Svorkovnicová skříň dt-2</t>
  </si>
  <si>
    <t>Doba výstavby:</t>
  </si>
  <si>
    <t>M.j.</t>
  </si>
  <si>
    <t>ks</t>
  </si>
  <si>
    <t>m</t>
  </si>
  <si>
    <t>kus</t>
  </si>
  <si>
    <t>hod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</si>
  <si>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</si>
  <si>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</si>
  <si>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</si>
  <si>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</si>
  <si>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</si>
  <si>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</si>
  <si>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</si>
  <si>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Montáž</t>
  </si>
  <si>
    <t>Celkem</t>
  </si>
  <si>
    <t>Hmotnost (t)</t>
  </si>
  <si>
    <t>KRYCÍ LIST ROZPOČTU</t>
  </si>
  <si>
    <t>Objekt :</t>
  </si>
  <si>
    <t>Název objektu :</t>
  </si>
  <si>
    <t>JKSO :</t>
  </si>
  <si>
    <t>Stavba :</t>
  </si>
  <si>
    <t>Název stavby :</t>
  </si>
  <si>
    <t>SKP :</t>
  </si>
  <si>
    <t>OIP-Středočeský kraj-REKONSTRUKCE KOTELNY</t>
  </si>
  <si>
    <t>Projektant :</t>
  </si>
  <si>
    <t xml:space="preserve">Ing. Jurásek Ondřej </t>
  </si>
  <si>
    <t>Počet měrných jednotek :</t>
  </si>
  <si>
    <t>Objednatel :</t>
  </si>
  <si>
    <t>ČR-SÚIP</t>
  </si>
  <si>
    <t>Náklady na MJ :</t>
  </si>
  <si>
    <t>Počet listů :</t>
  </si>
  <si>
    <t>Zakázkové číslo :</t>
  </si>
  <si>
    <t>O-22/2011</t>
  </si>
  <si>
    <t>Zpracovatel projektu :</t>
  </si>
  <si>
    <t>Ing.Jurásek Ondřej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</si>
  <si>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</si>
  <si>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</si>
  <si>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</si>
  <si>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</si>
  <si>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</si>
  <si>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</si>
  <si>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</si>
  <si>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</si>
  <si>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PSV celkem</t>
  </si>
  <si>
    <t>N</t>
  </si>
  <si>
    <t>HSV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</si>
  <si>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</si>
  <si>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</si>
  <si>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</si>
  <si>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</si>
  <si>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</si>
  <si>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</si>
  <si>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</si>
  <si>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</si>
  <si>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</si>
  <si>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Ing.Jurásek M.</t>
  </si>
  <si>
    <t>Jméno :</t>
  </si>
  <si>
    <t>Datum : 10.10.2011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</si>
  <si>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</si>
  <si>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</si>
  <si>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</si>
  <si>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</si>
  <si>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</si>
  <si>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</si>
  <si>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</si>
  <si>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</si>
  <si>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</si>
  <si>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</si>
  <si>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</si>
  <si>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PSV</t>
  </si>
  <si>
    <t>HSV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</si>
  <si>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</si>
  <si>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</si>
  <si>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</si>
  <si>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</si>
  <si>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</si>
  <si>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</si>
  <si>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</si>
  <si>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</si>
  <si>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</si>
  <si>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</si>
  <si>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</si>
  <si>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</si>
  <si>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</si>
  <si>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</si>
  <si>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</si>
  <si>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 xml:space="preserve">           Stavební rozpočet</t>
  </si>
  <si>
    <t>Celk.</t>
  </si>
  <si>
    <t>Elektroinstalace Zabezpečení MaR</t>
  </si>
  <si>
    <t>Montáž regulace Vaillant</t>
  </si>
  <si>
    <t>Instalace modulu VRC</t>
  </si>
  <si>
    <t>Napojení čerpadel</t>
  </si>
  <si>
    <t>Instalace čidla anuloid</t>
  </si>
  <si>
    <t>Instalace čidla venkovní teploty</t>
  </si>
  <si>
    <t>Modul pro instalaci ovládacího panelu</t>
  </si>
  <si>
    <t>Jistič LPN/B/1 do 25A pro MaR</t>
  </si>
  <si>
    <t>1.4.e, h, i  Elektro a MAR</t>
  </si>
  <si>
    <t>3002VD</t>
  </si>
  <si>
    <t>3003VD</t>
  </si>
  <si>
    <t>3004VD</t>
  </si>
  <si>
    <t>3005VD</t>
  </si>
  <si>
    <t>3006VD</t>
  </si>
  <si>
    <t>3001VD</t>
  </si>
  <si>
    <t>60</t>
  </si>
  <si>
    <t>61</t>
  </si>
  <si>
    <t>62</t>
  </si>
  <si>
    <t>63</t>
  </si>
  <si>
    <t>64</t>
  </si>
  <si>
    <t>65</t>
  </si>
  <si>
    <t>66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</si>
</sst>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0.0"/>
    <numFmt numFmtId="167" formatCode="#,##0\ &quot;Kč&quot;"/>
  </numFmts>
  <fonts count="1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98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/>
      <bottom>
        <color indexed="63"/>
      </bottom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</cellStyleXfs>
  <cellXfs count="244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49" fontId="3" fillId="0" borderId="2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49" fontId="1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9" fontId="3" fillId="0" borderId="7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5" fillId="2" borderId="17" xfId="0" applyNumberFormat="1" applyFont="1" applyFill="1" applyBorder="1" applyAlignment="1">
      <alignment/>
    </xf>
    <xf numFmtId="49" fontId="0" fillId="2" borderId="18" xfId="0" applyNumberForma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left"/>
    </xf>
    <xf numFmtId="0" fontId="0" fillId="0" borderId="23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right"/>
    </xf>
    <xf numFmtId="0" fontId="0" fillId="0" borderId="17" xfId="0" applyBorder="1" applyAlignment="1">
      <alignment/>
    </xf>
    <xf numFmtId="0" fontId="8" fillId="0" borderId="0" xfId="0" applyFont="1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Alignment="1">
      <alignment/>
    </xf>
    <xf numFmtId="0" fontId="4" fillId="0" borderId="30" xfId="0" applyFont="1" applyBorder="1" applyAlignment="1">
      <alignment horizontal="centerContinuous" vertical="center"/>
    </xf>
    <xf numFmtId="0" fontId="9" fillId="0" borderId="31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8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0" fillId="0" borderId="26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166" fontId="0" fillId="0" borderId="23" xfId="0" applyNumberFormat="1" applyBorder="1" applyAlignment="1">
      <alignment horizontal="right"/>
    </xf>
    <xf numFmtId="167" fontId="0" fillId="0" borderId="27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29" xfId="0" applyBorder="1" applyAlignment="1">
      <alignment/>
    </xf>
    <xf numFmtId="0" fontId="9" fillId="2" borderId="45" xfId="0" applyFont="1" applyFill="1" applyBorder="1" applyAlignment="1">
      <alignment/>
    </xf>
    <xf numFmtId="0" fontId="9" fillId="2" borderId="46" xfId="0" applyFont="1" applyFill="1" applyBorder="1" applyAlignment="1">
      <alignment/>
    </xf>
    <xf numFmtId="0" fontId="9" fillId="2" borderId="49" xfId="0" applyFont="1" applyFill="1" applyBorder="1" applyAlignment="1">
      <alignment/>
    </xf>
    <xf numFmtId="167" fontId="9" fillId="2" borderId="46" xfId="0" applyNumberFormat="1" applyFont="1" applyFill="1" applyBorder="1" applyAlignment="1">
      <alignment/>
    </xf>
    <xf numFmtId="0" fontId="9" fillId="2" borderId="5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6" fillId="0" borderId="51" xfId="18" applyFont="1" applyBorder="1">
      <alignment/>
      <protection/>
    </xf>
    <xf numFmtId="0" fontId="10" fillId="0" borderId="51" xfId="18" applyBorder="1">
      <alignment/>
      <protection/>
    </xf>
    <xf numFmtId="0" fontId="10" fillId="0" borderId="51" xfId="18" applyBorder="1" applyAlignment="1">
      <alignment horizontal="right"/>
      <protection/>
    </xf>
    <xf numFmtId="0" fontId="10" fillId="0" borderId="52" xfId="18" applyFont="1" applyBorder="1">
      <alignment/>
      <protection/>
    </xf>
    <xf numFmtId="0" fontId="0" fillId="0" borderId="51" xfId="0" applyNumberFormat="1" applyBorder="1" applyAlignment="1">
      <alignment horizontal="left"/>
    </xf>
    <xf numFmtId="0" fontId="0" fillId="0" borderId="53" xfId="0" applyNumberFormat="1" applyBorder="1" applyAlignment="1">
      <alignment/>
    </xf>
    <xf numFmtId="0" fontId="6" fillId="0" borderId="54" xfId="18" applyFont="1" applyBorder="1">
      <alignment/>
      <protection/>
    </xf>
    <xf numFmtId="0" fontId="10" fillId="0" borderId="54" xfId="18" applyBorder="1">
      <alignment/>
      <protection/>
    </xf>
    <xf numFmtId="0" fontId="10" fillId="0" borderId="54" xfId="18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8" fillId="3" borderId="33" xfId="0" applyNumberFormat="1" applyFont="1" applyFill="1" applyBorder="1" applyAlignment="1">
      <alignment/>
    </xf>
    <xf numFmtId="0" fontId="8" fillId="3" borderId="34" xfId="0" applyFont="1" applyFill="1" applyBorder="1" applyAlignment="1">
      <alignment/>
    </xf>
    <xf numFmtId="0" fontId="8" fillId="3" borderId="35" xfId="0" applyFont="1" applyFill="1" applyBorder="1" applyAlignment="1">
      <alignment/>
    </xf>
    <xf numFmtId="0" fontId="8" fillId="3" borderId="55" xfId="0" applyFont="1" applyFill="1" applyBorder="1" applyAlignment="1">
      <alignment/>
    </xf>
    <xf numFmtId="0" fontId="8" fillId="3" borderId="56" xfId="0" applyFont="1" applyFill="1" applyBorder="1" applyAlignment="1">
      <alignment/>
    </xf>
    <xf numFmtId="0" fontId="8" fillId="3" borderId="57" xfId="0" applyFont="1" applyFill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58" xfId="0" applyNumberFormat="1" applyFont="1" applyBorder="1" applyAlignment="1">
      <alignment/>
    </xf>
    <xf numFmtId="0" fontId="8" fillId="2" borderId="33" xfId="0" applyFont="1" applyFill="1" applyBorder="1" applyAlignment="1">
      <alignment/>
    </xf>
    <xf numFmtId="0" fontId="8" fillId="2" borderId="34" xfId="0" applyFont="1" applyFill="1" applyBorder="1" applyAlignment="1">
      <alignment/>
    </xf>
    <xf numFmtId="3" fontId="8" fillId="2" borderId="35" xfId="0" applyNumberFormat="1" applyFont="1" applyFill="1" applyBorder="1" applyAlignment="1">
      <alignment/>
    </xf>
    <xf numFmtId="3" fontId="8" fillId="2" borderId="55" xfId="0" applyNumberFormat="1" applyFont="1" applyFill="1" applyBorder="1" applyAlignment="1">
      <alignment/>
    </xf>
    <xf numFmtId="3" fontId="8" fillId="2" borderId="56" xfId="0" applyNumberFormat="1" applyFont="1" applyFill="1" applyBorder="1" applyAlignment="1">
      <alignment/>
    </xf>
    <xf numFmtId="3" fontId="8" fillId="2" borderId="57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8" fillId="4" borderId="39" xfId="0" applyFont="1" applyFill="1" applyBorder="1" applyAlignment="1">
      <alignment/>
    </xf>
    <xf numFmtId="0" fontId="8" fillId="4" borderId="40" xfId="0" applyFont="1" applyFill="1" applyBorder="1" applyAlignment="1">
      <alignment/>
    </xf>
    <xf numFmtId="0" fontId="0" fillId="4" borderId="59" xfId="0" applyFill="1" applyBorder="1" applyAlignment="1">
      <alignment/>
    </xf>
    <xf numFmtId="0" fontId="8" fillId="4" borderId="60" xfId="0" applyFont="1" applyFill="1" applyBorder="1" applyAlignment="1">
      <alignment horizontal="right"/>
    </xf>
    <xf numFmtId="0" fontId="8" fillId="4" borderId="40" xfId="0" applyFont="1" applyFill="1" applyBorder="1" applyAlignment="1">
      <alignment horizontal="right"/>
    </xf>
    <xf numFmtId="0" fontId="8" fillId="4" borderId="41" xfId="0" applyFont="1" applyFill="1" applyBorder="1" applyAlignment="1">
      <alignment horizontal="center"/>
    </xf>
    <xf numFmtId="4" fontId="7" fillId="4" borderId="40" xfId="0" applyNumberFormat="1" applyFont="1" applyFill="1" applyBorder="1" applyAlignment="1">
      <alignment horizontal="right"/>
    </xf>
    <xf numFmtId="4" fontId="7" fillId="4" borderId="59" xfId="0" applyNumberFormat="1" applyFont="1" applyFill="1" applyBorder="1" applyAlignment="1">
      <alignment horizontal="right"/>
    </xf>
    <xf numFmtId="0" fontId="10" fillId="0" borderId="44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61" xfId="0" applyFont="1" applyBorder="1" applyAlignment="1">
      <alignment/>
    </xf>
    <xf numFmtId="3" fontId="10" fillId="0" borderId="43" xfId="0" applyNumberFormat="1" applyFont="1" applyBorder="1" applyAlignment="1">
      <alignment horizontal="right"/>
    </xf>
    <xf numFmtId="166" fontId="10" fillId="0" borderId="62" xfId="0" applyNumberFormat="1" applyFont="1" applyBorder="1" applyAlignment="1">
      <alignment horizontal="right"/>
    </xf>
    <xf numFmtId="3" fontId="10" fillId="0" borderId="63" xfId="0" applyNumberFormat="1" applyFont="1" applyBorder="1" applyAlignment="1">
      <alignment horizontal="right"/>
    </xf>
    <xf numFmtId="4" fontId="10" fillId="0" borderId="37" xfId="0" applyNumberFormat="1" applyFont="1" applyBorder="1" applyAlignment="1">
      <alignment horizontal="right"/>
    </xf>
    <xf numFmtId="3" fontId="10" fillId="0" borderId="61" xfId="0" applyNumberFormat="1" applyFont="1" applyBorder="1" applyAlignment="1">
      <alignment horizontal="right"/>
    </xf>
    <xf numFmtId="0" fontId="0" fillId="2" borderId="45" xfId="0" applyFill="1" applyBorder="1" applyAlignment="1">
      <alignment/>
    </xf>
    <xf numFmtId="0" fontId="8" fillId="2" borderId="46" xfId="0" applyFont="1" applyFill="1" applyBorder="1" applyAlignment="1">
      <alignment/>
    </xf>
    <xf numFmtId="0" fontId="0" fillId="2" borderId="46" xfId="0" applyFill="1" applyBorder="1" applyAlignment="1">
      <alignment/>
    </xf>
    <xf numFmtId="4" fontId="0" fillId="2" borderId="64" xfId="0" applyNumberFormat="1" applyFill="1" applyBorder="1" applyAlignment="1">
      <alignment/>
    </xf>
    <xf numFmtId="4" fontId="0" fillId="2" borderId="45" xfId="0" applyNumberFormat="1" applyFill="1" applyBorder="1" applyAlignment="1">
      <alignment/>
    </xf>
    <xf numFmtId="4" fontId="0" fillId="2" borderId="46" xfId="0" applyNumberFormat="1" applyFill="1" applyBorder="1" applyAlignment="1">
      <alignment/>
    </xf>
    <xf numFmtId="3" fontId="1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1" fillId="0" borderId="65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66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67" xfId="0" applyNumberFormat="1" applyFont="1" applyFill="1" applyBorder="1" applyAlignment="1" applyProtection="1">
      <alignment vertical="center"/>
      <protection/>
    </xf>
    <xf numFmtId="0" fontId="1" fillId="0" borderId="68" xfId="0" applyNumberFormat="1" applyFont="1" applyFill="1" applyBorder="1" applyAlignment="1" applyProtection="1">
      <alignment vertical="center"/>
      <protection/>
    </xf>
    <xf numFmtId="0" fontId="1" fillId="0" borderId="69" xfId="0" applyNumberFormat="1" applyFont="1" applyFill="1" applyBorder="1" applyAlignment="1" applyProtection="1">
      <alignment vertical="center"/>
      <protection/>
    </xf>
    <xf numFmtId="0" fontId="1" fillId="0" borderId="70" xfId="0" applyNumberFormat="1" applyFont="1" applyFill="1" applyBorder="1" applyAlignment="1" applyProtection="1">
      <alignment vertical="center"/>
      <protection/>
    </xf>
    <xf numFmtId="0" fontId="2" fillId="0" borderId="71" xfId="0" applyNumberFormat="1" applyFont="1" applyFill="1" applyBorder="1" applyAlignment="1" applyProtection="1">
      <alignment vertical="center"/>
      <protection/>
    </xf>
    <xf numFmtId="0" fontId="2" fillId="0" borderId="72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3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4" fillId="0" borderId="8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3" fontId="15" fillId="0" borderId="17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/>
    </xf>
    <xf numFmtId="49" fontId="12" fillId="0" borderId="25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0" fontId="12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73" xfId="0" applyFont="1" applyFill="1" applyBorder="1" applyAlignment="1">
      <alignment/>
    </xf>
    <xf numFmtId="0" fontId="8" fillId="0" borderId="74" xfId="0" applyFont="1" applyFill="1" applyBorder="1" applyAlignment="1">
      <alignment/>
    </xf>
    <xf numFmtId="49" fontId="12" fillId="0" borderId="58" xfId="0" applyNumberFormat="1" applyFont="1" applyBorder="1" applyAlignment="1">
      <alignment/>
    </xf>
    <xf numFmtId="0" fontId="12" fillId="0" borderId="69" xfId="0" applyFont="1" applyBorder="1" applyAlignment="1">
      <alignment/>
    </xf>
    <xf numFmtId="0" fontId="0" fillId="0" borderId="69" xfId="0" applyBorder="1" applyAlignment="1">
      <alignment/>
    </xf>
    <xf numFmtId="3" fontId="10" fillId="0" borderId="50" xfId="0" applyNumberFormat="1" applyFont="1" applyBorder="1" applyAlignment="1">
      <alignment/>
    </xf>
    <xf numFmtId="3" fontId="10" fillId="0" borderId="70" xfId="0" applyNumberFormat="1" applyFont="1" applyBorder="1" applyAlignment="1">
      <alignment/>
    </xf>
    <xf numFmtId="3" fontId="10" fillId="0" borderId="75" xfId="0" applyNumberFormat="1" applyFont="1" applyBorder="1" applyAlignment="1">
      <alignment/>
    </xf>
    <xf numFmtId="3" fontId="10" fillId="0" borderId="76" xfId="0" applyNumberFormat="1" applyFont="1" applyBorder="1" applyAlignment="1">
      <alignment/>
    </xf>
    <xf numFmtId="49" fontId="8" fillId="0" borderId="77" xfId="0" applyNumberFormat="1" applyFont="1" applyFill="1" applyBorder="1" applyAlignment="1">
      <alignment/>
    </xf>
    <xf numFmtId="49" fontId="12" fillId="0" borderId="78" xfId="0" applyNumberFormat="1" applyFont="1" applyBorder="1" applyAlignment="1">
      <alignment/>
    </xf>
    <xf numFmtId="49" fontId="12" fillId="0" borderId="79" xfId="0" applyNumberFormat="1" applyFont="1" applyBorder="1" applyAlignment="1">
      <alignment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ill="1" applyAlignment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ill="1" applyAlignment="1">
      <alignment vertical="center"/>
    </xf>
    <xf numFmtId="49" fontId="1" fillId="0" borderId="80" xfId="0" applyNumberFormat="1" applyFont="1" applyFill="1" applyBorder="1" applyAlignment="1" applyProtection="1">
      <alignment horizontal="left" vertical="center"/>
      <protection/>
    </xf>
    <xf numFmtId="49" fontId="1" fillId="0" borderId="81" xfId="0" applyNumberFormat="1" applyFont="1" applyFill="1" applyBorder="1" applyAlignment="1" applyProtection="1">
      <alignment horizontal="left" vertical="center"/>
      <protection/>
    </xf>
    <xf numFmtId="49" fontId="3" fillId="0" borderId="81" xfId="0" applyNumberFormat="1" applyFont="1" applyFill="1" applyBorder="1" applyAlignment="1" applyProtection="1">
      <alignment horizontal="left" vertical="center"/>
      <protection/>
    </xf>
    <xf numFmtId="4" fontId="3" fillId="0" borderId="81" xfId="0" applyNumberFormat="1" applyFont="1" applyFill="1" applyBorder="1" applyAlignment="1" applyProtection="1">
      <alignment horizontal="right" vertical="center"/>
      <protection/>
    </xf>
    <xf numFmtId="49" fontId="3" fillId="0" borderId="81" xfId="0" applyNumberFormat="1" applyFont="1" applyFill="1" applyBorder="1" applyAlignment="1" applyProtection="1">
      <alignment horizontal="right" vertical="center"/>
      <protection/>
    </xf>
    <xf numFmtId="4" fontId="3" fillId="0" borderId="82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ill="1" applyAlignment="1">
      <alignment vertic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62" xfId="0" applyNumberFormat="1" applyFont="1" applyFill="1" applyBorder="1" applyAlignment="1" applyProtection="1">
      <alignment horizontal="right" vertical="center"/>
      <protection/>
    </xf>
    <xf numFmtId="4" fontId="1" fillId="0" borderId="83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27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8" fillId="0" borderId="84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0" fillId="0" borderId="85" xfId="18" applyFont="1" applyBorder="1" applyAlignment="1">
      <alignment horizontal="center"/>
      <protection/>
    </xf>
    <xf numFmtId="0" fontId="10" fillId="0" borderId="86" xfId="18" applyFont="1" applyBorder="1" applyAlignment="1">
      <alignment horizontal="center"/>
      <protection/>
    </xf>
    <xf numFmtId="0" fontId="10" fillId="0" borderId="87" xfId="18" applyFont="1" applyBorder="1" applyAlignment="1">
      <alignment horizontal="center"/>
      <protection/>
    </xf>
    <xf numFmtId="0" fontId="10" fillId="0" borderId="88" xfId="18" applyFont="1" applyBorder="1" applyAlignment="1">
      <alignment horizontal="center"/>
      <protection/>
    </xf>
    <xf numFmtId="0" fontId="10" fillId="0" borderId="89" xfId="18" applyFont="1" applyBorder="1" applyAlignment="1">
      <alignment horizontal="left"/>
      <protection/>
    </xf>
    <xf numFmtId="0" fontId="10" fillId="0" borderId="54" xfId="18" applyFont="1" applyBorder="1" applyAlignment="1">
      <alignment horizontal="left"/>
      <protection/>
    </xf>
    <xf numFmtId="0" fontId="10" fillId="0" borderId="90" xfId="18" applyFont="1" applyBorder="1" applyAlignment="1">
      <alignment horizontal="left"/>
      <protection/>
    </xf>
    <xf numFmtId="3" fontId="8" fillId="2" borderId="46" xfId="0" applyNumberFormat="1" applyFont="1" applyFill="1" applyBorder="1" applyAlignment="1">
      <alignment horizontal="right"/>
    </xf>
    <xf numFmtId="3" fontId="8" fillId="2" borderId="64" xfId="0" applyNumberFormat="1" applyFont="1" applyFill="1" applyBorder="1" applyAlignment="1">
      <alignment horizontal="right"/>
    </xf>
    <xf numFmtId="49" fontId="1" fillId="0" borderId="91" xfId="0" applyNumberFormat="1" applyFont="1" applyFill="1" applyBorder="1" applyAlignment="1" applyProtection="1">
      <alignment horizontal="left" vertical="center"/>
      <protection/>
    </xf>
    <xf numFmtId="0" fontId="1" fillId="0" borderId="92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92" xfId="0" applyNumberFormat="1" applyFont="1" applyFill="1" applyBorder="1" applyAlignment="1" applyProtection="1">
      <alignment horizontal="left" vertical="center"/>
      <protection/>
    </xf>
    <xf numFmtId="49" fontId="3" fillId="0" borderId="93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 applyProtection="1">
      <alignment horizontal="center" vertical="center"/>
      <protection/>
    </xf>
    <xf numFmtId="49" fontId="3" fillId="0" borderId="81" xfId="0" applyNumberFormat="1" applyFont="1" applyFill="1" applyBorder="1" applyAlignment="1" applyProtection="1">
      <alignment horizontal="left" vertical="center"/>
      <protection/>
    </xf>
    <xf numFmtId="0" fontId="3" fillId="0" borderId="81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95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83" xfId="0" applyNumberFormat="1" applyFont="1" applyFill="1" applyBorder="1" applyAlignment="1" applyProtection="1">
      <alignment horizontal="left" vertical="center"/>
      <protection/>
    </xf>
    <xf numFmtId="49" fontId="2" fillId="0" borderId="7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96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97" xfId="0" applyNumberFormat="1" applyFont="1" applyFill="1" applyBorder="1" applyAlignment="1" applyProtection="1">
      <alignment horizontal="left" vertical="center"/>
      <protection/>
    </xf>
    <xf numFmtId="49" fontId="3" fillId="0" borderId="92" xfId="0" applyNumberFormat="1" applyFont="1" applyFill="1" applyBorder="1" applyAlignment="1" applyProtection="1">
      <alignment horizontal="left" vertical="center"/>
      <protection/>
    </xf>
  </cellXfs>
  <cellStyles count="3">
    <cellStyle name="Normal" xfId="0"/>
    <cellStyle name="normální_POL.XLS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SA%20AKCE\2011\2011%20ondra\O%202011%20rozpracovane\O%202011%20019%20praha%20ve%20smeckach\2011%2010\20111031%20reaizace\rozpocty%20a%20vykazy\rozpocty\SUIP%20Rekonstrukce%20kotelny%20-%20Plyn%20-%20Rozpo&#269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1.4.f. Plynová odběrná zařízení</v>
          </cell>
        </row>
        <row r="6">
          <cell r="C6" t="str">
            <v>OIP-Středočeský kraj-REKONSTRUKCE KOTELNY</v>
          </cell>
        </row>
      </sheetData>
      <sheetData sheetId="1">
        <row r="9">
          <cell r="E9">
            <v>164246.44000000003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4">
          <cell r="A14" t="str">
            <v>Ztížené výrobní podmínky</v>
          </cell>
          <cell r="I14">
            <v>0</v>
          </cell>
        </row>
        <row r="15">
          <cell r="A15" t="str">
            <v>Oborová přirážka</v>
          </cell>
          <cell r="I15">
            <v>0</v>
          </cell>
        </row>
        <row r="16">
          <cell r="A16" t="str">
            <v>Přesun stavebních kapacit</v>
          </cell>
          <cell r="I16">
            <v>0</v>
          </cell>
        </row>
        <row r="17">
          <cell r="A17" t="str">
            <v>Mimostaveništní doprava</v>
          </cell>
          <cell r="I17">
            <v>0</v>
          </cell>
        </row>
        <row r="18">
          <cell r="A18" t="str">
            <v>Zařízení staveniště</v>
          </cell>
          <cell r="I18">
            <v>0</v>
          </cell>
        </row>
        <row r="19">
          <cell r="A19" t="str">
            <v>Provoz investora</v>
          </cell>
          <cell r="I19">
            <v>0</v>
          </cell>
        </row>
        <row r="20">
          <cell r="A20" t="str">
            <v>Kompletační činnost (IČD)</v>
          </cell>
          <cell r="I20">
            <v>0</v>
          </cell>
        </row>
        <row r="22">
          <cell r="H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"/>
  <sheetViews>
    <sheetView showZeros="0" workbookViewId="0" topLeftCell="A10">
      <selection activeCell="J34" sqref="J34"/>
    </sheetView>
  </sheetViews>
  <sheetFormatPr defaultColWidth="9.140625" defaultRowHeight="12.75"/>
  <cols>
    <col min="1" max="1" width="2.00390625" style="19" customWidth="1"/>
    <col min="2" max="2" width="15.00390625" style="19" customWidth="1"/>
    <col min="3" max="3" width="15.8515625" style="19" customWidth="1"/>
    <col min="4" max="4" width="14.57421875" style="19" customWidth="1"/>
    <col min="5" max="5" width="13.57421875" style="19" customWidth="1"/>
    <col min="6" max="6" width="13.00390625" style="19" customWidth="1"/>
    <col min="7" max="7" width="14.421875" style="19" customWidth="1"/>
    <col min="8" max="16384" width="9.140625" style="19" customWidth="1"/>
  </cols>
  <sheetData>
    <row r="1" spans="1:7" ht="21.75" customHeight="1">
      <c r="A1" s="17" t="s">
        <v>198</v>
      </c>
      <c r="B1" s="18"/>
      <c r="C1" s="18"/>
      <c r="D1" s="18"/>
      <c r="E1" s="18"/>
      <c r="F1" s="18"/>
      <c r="G1" s="18"/>
    </row>
    <row r="2" ht="15" customHeight="1" thickBot="1"/>
    <row r="3" spans="1:7" ht="12.75" customHeight="1">
      <c r="A3" s="20" t="s">
        <v>199</v>
      </c>
      <c r="B3" s="21"/>
      <c r="C3" s="22" t="s">
        <v>200</v>
      </c>
      <c r="D3" s="22"/>
      <c r="E3" s="22"/>
      <c r="F3" s="22" t="s">
        <v>201</v>
      </c>
      <c r="G3" s="23"/>
    </row>
    <row r="4" spans="1:7" ht="12.75" customHeight="1">
      <c r="A4" s="24"/>
      <c r="B4" s="25"/>
      <c r="C4" s="26" t="s">
        <v>278</v>
      </c>
      <c r="D4" s="27"/>
      <c r="E4" s="27"/>
      <c r="F4" s="28"/>
      <c r="G4" s="29"/>
    </row>
    <row r="5" spans="1:7" ht="12.75" customHeight="1">
      <c r="A5" s="30" t="s">
        <v>202</v>
      </c>
      <c r="B5" s="31"/>
      <c r="C5" s="32" t="s">
        <v>203</v>
      </c>
      <c r="D5" s="32"/>
      <c r="E5" s="32"/>
      <c r="F5" s="33" t="s">
        <v>204</v>
      </c>
      <c r="G5" s="34"/>
    </row>
    <row r="6" spans="1:7" ht="12.75" customHeight="1">
      <c r="A6" s="24"/>
      <c r="B6" s="25"/>
      <c r="C6" s="26" t="s">
        <v>205</v>
      </c>
      <c r="D6" s="27"/>
      <c r="E6" s="27"/>
      <c r="F6" s="35"/>
      <c r="G6" s="29"/>
    </row>
    <row r="7" spans="1:9" ht="12.75">
      <c r="A7" s="30" t="s">
        <v>206</v>
      </c>
      <c r="B7" s="32"/>
      <c r="C7" s="206" t="s">
        <v>207</v>
      </c>
      <c r="D7" s="207"/>
      <c r="E7" s="36" t="s">
        <v>208</v>
      </c>
      <c r="F7" s="37"/>
      <c r="G7" s="38">
        <v>0</v>
      </c>
      <c r="H7" s="39"/>
      <c r="I7" s="39"/>
    </row>
    <row r="8" spans="1:7" ht="12.75">
      <c r="A8" s="30" t="s">
        <v>209</v>
      </c>
      <c r="B8" s="32"/>
      <c r="C8" s="206" t="s">
        <v>210</v>
      </c>
      <c r="D8" s="207"/>
      <c r="E8" s="33" t="s">
        <v>211</v>
      </c>
      <c r="F8" s="32"/>
      <c r="G8" s="40">
        <f>IF(PocetMJ=0,,ROUND((F29+F31)/PocetMJ,1))</f>
        <v>0</v>
      </c>
    </row>
    <row r="9" spans="1:7" ht="12.75">
      <c r="A9" s="41" t="s">
        <v>212</v>
      </c>
      <c r="B9" s="42"/>
      <c r="C9" s="42"/>
      <c r="D9" s="42"/>
      <c r="E9" s="43" t="s">
        <v>213</v>
      </c>
      <c r="F9" s="42"/>
      <c r="G9" s="44" t="s">
        <v>214</v>
      </c>
    </row>
    <row r="10" spans="1:57" ht="12.75">
      <c r="A10" s="45" t="s">
        <v>215</v>
      </c>
      <c r="B10" s="28"/>
      <c r="C10" s="46" t="s">
        <v>216</v>
      </c>
      <c r="D10" s="28"/>
      <c r="E10" s="47" t="s">
        <v>217</v>
      </c>
      <c r="F10" s="28"/>
      <c r="G10" s="29"/>
      <c r="BA10" s="48"/>
      <c r="BB10" s="48"/>
      <c r="BC10" s="48"/>
      <c r="BD10" s="48"/>
      <c r="BE10" s="48"/>
    </row>
    <row r="11" spans="1:7" ht="12.75">
      <c r="A11" s="45"/>
      <c r="B11" s="28"/>
      <c r="C11" s="28"/>
      <c r="D11" s="28"/>
      <c r="E11" s="208"/>
      <c r="F11" s="209"/>
      <c r="G11" s="210"/>
    </row>
    <row r="12" spans="1:7" ht="28.5" customHeight="1" thickBot="1">
      <c r="A12" s="49" t="s">
        <v>218</v>
      </c>
      <c r="B12" s="50"/>
      <c r="C12" s="50"/>
      <c r="D12" s="50"/>
      <c r="E12" s="51"/>
      <c r="F12" s="51"/>
      <c r="G12" s="52"/>
    </row>
    <row r="13" spans="1:7" ht="17.25" customHeight="1" thickBot="1">
      <c r="A13" s="53" t="s">
        <v>219</v>
      </c>
      <c r="B13" s="54"/>
      <c r="C13" s="55"/>
      <c r="D13" s="56" t="s">
        <v>220</v>
      </c>
      <c r="E13" s="57"/>
      <c r="F13" s="57"/>
      <c r="G13" s="55"/>
    </row>
    <row r="14" spans="1:7" ht="15.75" customHeight="1">
      <c r="A14" s="58"/>
      <c r="B14" s="59" t="s">
        <v>221</v>
      </c>
      <c r="C14" s="60">
        <f>+Rekapitulace!G15</f>
        <v>0</v>
      </c>
      <c r="D14" s="61" t="str">
        <f>'[1]Rekapitulace'!A14</f>
        <v>Ztížené výrobní podmínky</v>
      </c>
      <c r="E14" s="62"/>
      <c r="F14" s="63"/>
      <c r="G14" s="60">
        <f>'[1]Rekapitulace'!I14</f>
        <v>0</v>
      </c>
    </row>
    <row r="15" spans="1:7" ht="15.75" customHeight="1">
      <c r="A15" s="58" t="s">
        <v>222</v>
      </c>
      <c r="B15" s="59" t="s">
        <v>223</v>
      </c>
      <c r="C15" s="60">
        <f>+Rekapitulace!H15</f>
        <v>0</v>
      </c>
      <c r="D15" s="41" t="str">
        <f>'[1]Rekapitulace'!A15</f>
        <v>Oborová přirážka</v>
      </c>
      <c r="E15" s="64"/>
      <c r="F15" s="65"/>
      <c r="G15" s="60">
        <f>'[1]Rekapitulace'!I15</f>
        <v>0</v>
      </c>
    </row>
    <row r="16" spans="1:7" ht="15.75" customHeight="1">
      <c r="A16" s="58" t="s">
        <v>224</v>
      </c>
      <c r="B16" s="59" t="s">
        <v>225</v>
      </c>
      <c r="C16" s="60">
        <f>+Rekapitulace!E15</f>
        <v>0</v>
      </c>
      <c r="D16" s="41" t="str">
        <f>'[1]Rekapitulace'!A16</f>
        <v>Přesun stavebních kapacit</v>
      </c>
      <c r="E16" s="64"/>
      <c r="F16" s="65"/>
      <c r="G16" s="60">
        <f>'[1]Rekapitulace'!I16</f>
        <v>0</v>
      </c>
    </row>
    <row r="17" spans="1:7" ht="15.75" customHeight="1">
      <c r="A17" s="66" t="s">
        <v>226</v>
      </c>
      <c r="B17" s="59" t="s">
        <v>227</v>
      </c>
      <c r="C17" s="60">
        <f>+Rekapitulace!F15</f>
        <v>0</v>
      </c>
      <c r="D17" s="41" t="str">
        <f>'[1]Rekapitulace'!A17</f>
        <v>Mimostaveništní doprava</v>
      </c>
      <c r="E17" s="64"/>
      <c r="F17" s="65"/>
      <c r="G17" s="60">
        <f>'[1]Rekapitulace'!I17</f>
        <v>0</v>
      </c>
    </row>
    <row r="18" spans="1:7" ht="15.75" customHeight="1">
      <c r="A18" s="67" t="s">
        <v>228</v>
      </c>
      <c r="B18" s="59"/>
      <c r="C18" s="60">
        <f>+Rekapitulace!H28</f>
        <v>0</v>
      </c>
      <c r="D18" s="68" t="str">
        <f>'[1]Rekapitulace'!A18</f>
        <v>Zařízení staveniště</v>
      </c>
      <c r="E18" s="64"/>
      <c r="F18" s="65"/>
      <c r="G18" s="60">
        <f>'[1]Rekapitulace'!I18</f>
        <v>0</v>
      </c>
    </row>
    <row r="19" spans="1:7" ht="15.75" customHeight="1">
      <c r="A19" s="67"/>
      <c r="B19" s="59"/>
      <c r="C19" s="60"/>
      <c r="D19" s="41" t="str">
        <f>'[1]Rekapitulace'!A19</f>
        <v>Provoz investora</v>
      </c>
      <c r="E19" s="64"/>
      <c r="F19" s="65"/>
      <c r="G19" s="60">
        <f>'[1]Rekapitulace'!I19</f>
        <v>0</v>
      </c>
    </row>
    <row r="20" spans="1:7" ht="15.75" customHeight="1">
      <c r="A20" s="67" t="s">
        <v>229</v>
      </c>
      <c r="B20" s="59"/>
      <c r="C20" s="60"/>
      <c r="D20" s="41" t="str">
        <f>'[1]Rekapitulace'!A20</f>
        <v>Kompletační činnost (IČD)</v>
      </c>
      <c r="E20" s="64"/>
      <c r="F20" s="65"/>
      <c r="G20" s="60">
        <f>'[1]Rekapitulace'!I20</f>
        <v>0</v>
      </c>
    </row>
    <row r="21" spans="1:7" ht="15.75" customHeight="1">
      <c r="A21" s="45" t="s">
        <v>230</v>
      </c>
      <c r="B21" s="28"/>
      <c r="C21" s="60"/>
      <c r="D21" s="41" t="s">
        <v>231</v>
      </c>
      <c r="E21" s="64"/>
      <c r="F21" s="65"/>
      <c r="G21" s="60">
        <f>G22-SUM(G14:G20)</f>
        <v>0</v>
      </c>
    </row>
    <row r="22" spans="1:7" ht="15.75" customHeight="1" thickBot="1">
      <c r="A22" s="41" t="s">
        <v>232</v>
      </c>
      <c r="B22" s="42"/>
      <c r="C22" s="69">
        <f>+C16</f>
        <v>0</v>
      </c>
      <c r="D22" s="70" t="s">
        <v>233</v>
      </c>
      <c r="E22" s="71"/>
      <c r="F22" s="72"/>
      <c r="G22" s="60">
        <f>VRN</f>
        <v>0</v>
      </c>
    </row>
    <row r="23" spans="1:7" ht="12.75">
      <c r="A23" s="20" t="s">
        <v>234</v>
      </c>
      <c r="B23" s="22"/>
      <c r="C23" s="73" t="s">
        <v>235</v>
      </c>
      <c r="D23" s="22"/>
      <c r="E23" s="73" t="s">
        <v>236</v>
      </c>
      <c r="F23" s="22"/>
      <c r="G23" s="23"/>
    </row>
    <row r="24" spans="1:7" ht="12.75">
      <c r="A24" s="30"/>
      <c r="B24" s="32" t="s">
        <v>237</v>
      </c>
      <c r="C24" s="33" t="s">
        <v>238</v>
      </c>
      <c r="D24" s="32"/>
      <c r="E24" s="33" t="s">
        <v>238</v>
      </c>
      <c r="F24" s="32"/>
      <c r="G24" s="34"/>
    </row>
    <row r="25" spans="1:7" ht="12.75">
      <c r="A25" s="45" t="s">
        <v>239</v>
      </c>
      <c r="B25" s="74"/>
      <c r="C25" s="47" t="s">
        <v>240</v>
      </c>
      <c r="D25" s="28"/>
      <c r="E25" s="47" t="s">
        <v>240</v>
      </c>
      <c r="F25" s="28"/>
      <c r="G25" s="29"/>
    </row>
    <row r="26" spans="1:7" ht="12.75">
      <c r="A26" s="45"/>
      <c r="B26" s="75"/>
      <c r="C26" s="47" t="s">
        <v>241</v>
      </c>
      <c r="D26" s="28"/>
      <c r="E26" s="47" t="s">
        <v>242</v>
      </c>
      <c r="F26" s="28"/>
      <c r="G26" s="29"/>
    </row>
    <row r="27" spans="1:7" ht="12.75">
      <c r="A27" s="45"/>
      <c r="B27" s="28"/>
      <c r="C27" s="47"/>
      <c r="D27" s="28"/>
      <c r="E27" s="47"/>
      <c r="F27" s="28"/>
      <c r="G27" s="29"/>
    </row>
    <row r="28" spans="1:7" ht="79.5" customHeight="1">
      <c r="A28" s="45"/>
      <c r="B28" s="28"/>
      <c r="C28" s="47"/>
      <c r="D28" s="28"/>
      <c r="E28" s="47"/>
      <c r="F28" s="28"/>
      <c r="G28" s="29"/>
    </row>
    <row r="29" spans="1:7" ht="12.75">
      <c r="A29" s="30" t="s">
        <v>243</v>
      </c>
      <c r="B29" s="32"/>
      <c r="C29" s="76">
        <v>20</v>
      </c>
      <c r="D29" s="32" t="s">
        <v>244</v>
      </c>
      <c r="E29" s="33"/>
      <c r="F29" s="77">
        <f>ROUND(C22-F31,0)</f>
        <v>0</v>
      </c>
      <c r="G29" s="34"/>
    </row>
    <row r="30" spans="1:7" ht="12.75">
      <c r="A30" s="30" t="s">
        <v>245</v>
      </c>
      <c r="B30" s="32"/>
      <c r="C30" s="76">
        <f>SazbaDPH1</f>
        <v>20</v>
      </c>
      <c r="D30" s="32" t="s">
        <v>244</v>
      </c>
      <c r="E30" s="33"/>
      <c r="F30" s="78">
        <f>ROUND(PRODUCT(F29,C30/100),1)</f>
        <v>0</v>
      </c>
      <c r="G30" s="79"/>
    </row>
    <row r="31" spans="1:7" ht="12.75">
      <c r="A31" s="30" t="s">
        <v>243</v>
      </c>
      <c r="B31" s="32"/>
      <c r="C31" s="76">
        <v>10</v>
      </c>
      <c r="D31" s="32" t="s">
        <v>244</v>
      </c>
      <c r="E31" s="33"/>
      <c r="F31" s="77">
        <v>0</v>
      </c>
      <c r="G31" s="34"/>
    </row>
    <row r="32" spans="1:7" ht="12.75">
      <c r="A32" s="30" t="s">
        <v>245</v>
      </c>
      <c r="B32" s="32"/>
      <c r="C32" s="76">
        <f>SazbaDPH2</f>
        <v>10</v>
      </c>
      <c r="D32" s="32" t="s">
        <v>244</v>
      </c>
      <c r="E32" s="33"/>
      <c r="F32" s="78">
        <f>ROUND(PRODUCT(F31,C32/100),1)</f>
        <v>0</v>
      </c>
      <c r="G32" s="79"/>
    </row>
    <row r="33" spans="1:7" s="85" customFormat="1" ht="19.5" customHeight="1" thickBot="1">
      <c r="A33" s="80" t="s">
        <v>246</v>
      </c>
      <c r="B33" s="81"/>
      <c r="C33" s="81"/>
      <c r="D33" s="81"/>
      <c r="E33" s="82"/>
      <c r="F33" s="83">
        <f>CEILING(SUM(F29:F32),1)</f>
        <v>0</v>
      </c>
      <c r="G33" s="84"/>
    </row>
    <row r="35" spans="1:8" ht="12.75">
      <c r="A35" s="86" t="s">
        <v>247</v>
      </c>
      <c r="B35" s="86"/>
      <c r="C35" s="86"/>
      <c r="D35" s="86"/>
      <c r="E35" s="86"/>
      <c r="F35" s="86"/>
      <c r="G35" s="86"/>
      <c r="H35" s="19" t="s">
        <v>1</v>
      </c>
    </row>
    <row r="36" spans="1:8" ht="14.25" customHeight="1">
      <c r="A36" s="86"/>
      <c r="B36" s="211"/>
      <c r="C36" s="211"/>
      <c r="D36" s="211"/>
      <c r="E36" s="211"/>
      <c r="F36" s="211"/>
      <c r="G36" s="211"/>
      <c r="H36" s="19" t="s">
        <v>1</v>
      </c>
    </row>
    <row r="37" spans="1:8" ht="12.75" customHeight="1">
      <c r="A37" s="87"/>
      <c r="B37" s="211"/>
      <c r="C37" s="211"/>
      <c r="D37" s="211"/>
      <c r="E37" s="211"/>
      <c r="F37" s="211"/>
      <c r="G37" s="211"/>
      <c r="H37" s="19" t="s">
        <v>1</v>
      </c>
    </row>
    <row r="38" spans="1:8" ht="12.75">
      <c r="A38" s="87"/>
      <c r="B38" s="211"/>
      <c r="C38" s="211"/>
      <c r="D38" s="211"/>
      <c r="E38" s="211"/>
      <c r="F38" s="211"/>
      <c r="G38" s="211"/>
      <c r="H38" s="19" t="s">
        <v>1</v>
      </c>
    </row>
    <row r="39" spans="1:8" ht="12.75">
      <c r="A39" s="87"/>
      <c r="B39" s="211"/>
      <c r="C39" s="211"/>
      <c r="D39" s="211"/>
      <c r="E39" s="211"/>
      <c r="F39" s="211"/>
      <c r="G39" s="211"/>
      <c r="H39" s="19" t="s">
        <v>1</v>
      </c>
    </row>
    <row r="40" spans="1:8" ht="12.75">
      <c r="A40" s="87"/>
      <c r="B40" s="211"/>
      <c r="C40" s="211"/>
      <c r="D40" s="211"/>
      <c r="E40" s="211"/>
      <c r="F40" s="211"/>
      <c r="G40" s="211"/>
      <c r="H40" s="19" t="s">
        <v>1</v>
      </c>
    </row>
    <row r="41" spans="1:8" ht="12.75">
      <c r="A41" s="87"/>
      <c r="B41" s="211"/>
      <c r="C41" s="211"/>
      <c r="D41" s="211"/>
      <c r="E41" s="211"/>
      <c r="F41" s="211"/>
      <c r="G41" s="211"/>
      <c r="H41" s="19" t="s">
        <v>1</v>
      </c>
    </row>
    <row r="42" spans="1:8" ht="12.75">
      <c r="A42" s="87"/>
      <c r="B42" s="211"/>
      <c r="C42" s="211"/>
      <c r="D42" s="211"/>
      <c r="E42" s="211"/>
      <c r="F42" s="211"/>
      <c r="G42" s="211"/>
      <c r="H42" s="19" t="s">
        <v>1</v>
      </c>
    </row>
    <row r="43" spans="1:8" ht="12.75">
      <c r="A43" s="87"/>
      <c r="B43" s="211"/>
      <c r="C43" s="211"/>
      <c r="D43" s="211"/>
      <c r="E43" s="211"/>
      <c r="F43" s="211"/>
      <c r="G43" s="211"/>
      <c r="H43" s="19" t="s">
        <v>1</v>
      </c>
    </row>
    <row r="44" spans="1:8" ht="12.75">
      <c r="A44" s="87"/>
      <c r="B44" s="211"/>
      <c r="C44" s="211"/>
      <c r="D44" s="211"/>
      <c r="E44" s="211"/>
      <c r="F44" s="211"/>
      <c r="G44" s="211"/>
      <c r="H44" s="19" t="s">
        <v>1</v>
      </c>
    </row>
    <row r="45" spans="2:7" ht="12.75">
      <c r="B45" s="212"/>
      <c r="C45" s="212"/>
      <c r="D45" s="212"/>
      <c r="E45" s="212"/>
      <c r="F45" s="212"/>
      <c r="G45" s="212"/>
    </row>
    <row r="46" spans="2:7" ht="12.75">
      <c r="B46" s="212"/>
      <c r="C46" s="212"/>
      <c r="D46" s="212"/>
      <c r="E46" s="212"/>
      <c r="F46" s="212"/>
      <c r="G46" s="212"/>
    </row>
    <row r="47" spans="2:7" ht="12.75">
      <c r="B47" s="212"/>
      <c r="C47" s="212"/>
      <c r="D47" s="212"/>
      <c r="E47" s="212"/>
      <c r="F47" s="212"/>
      <c r="G47" s="212"/>
    </row>
    <row r="48" spans="2:7" ht="12.75">
      <c r="B48" s="212"/>
      <c r="C48" s="212"/>
      <c r="D48" s="212"/>
      <c r="E48" s="212"/>
      <c r="F48" s="212"/>
      <c r="G48" s="212"/>
    </row>
    <row r="49" spans="2:7" ht="12.75">
      <c r="B49" s="212"/>
      <c r="C49" s="212"/>
      <c r="D49" s="212"/>
      <c r="E49" s="212"/>
      <c r="F49" s="212"/>
      <c r="G49" s="212"/>
    </row>
    <row r="50" spans="2:7" ht="12.75">
      <c r="B50" s="212"/>
      <c r="C50" s="212"/>
      <c r="D50" s="212"/>
      <c r="E50" s="212"/>
      <c r="F50" s="212"/>
      <c r="G50" s="212"/>
    </row>
    <row r="51" spans="2:7" ht="12.75">
      <c r="B51" s="212"/>
      <c r="C51" s="212"/>
      <c r="D51" s="212"/>
      <c r="E51" s="212"/>
      <c r="F51" s="212"/>
      <c r="G51" s="212"/>
    </row>
    <row r="52" spans="2:7" ht="12.75">
      <c r="B52" s="212"/>
      <c r="C52" s="212"/>
      <c r="D52" s="212"/>
      <c r="E52" s="212"/>
      <c r="F52" s="212"/>
      <c r="G52" s="212"/>
    </row>
    <row r="53" spans="2:7" ht="12.75">
      <c r="B53" s="212"/>
      <c r="C53" s="212"/>
      <c r="D53" s="212"/>
      <c r="E53" s="212"/>
      <c r="F53" s="212"/>
      <c r="G53" s="212"/>
    </row>
    <row r="54" spans="2:7" ht="12.75">
      <c r="B54" s="212"/>
      <c r="C54" s="212"/>
      <c r="D54" s="212"/>
      <c r="E54" s="212"/>
      <c r="F54" s="212"/>
      <c r="G54" s="212"/>
    </row>
  </sheetData>
  <mergeCells count="14">
    <mergeCell ref="B53:G53"/>
    <mergeCell ref="B54:G54"/>
    <mergeCell ref="B49:G49"/>
    <mergeCell ref="B50:G50"/>
    <mergeCell ref="B51:G51"/>
    <mergeCell ref="B52:G52"/>
    <mergeCell ref="B45:G45"/>
    <mergeCell ref="B46:G46"/>
    <mergeCell ref="B47:G47"/>
    <mergeCell ref="B48:G48"/>
    <mergeCell ref="C7:D7"/>
    <mergeCell ref="C8:D8"/>
    <mergeCell ref="E11:G11"/>
    <mergeCell ref="B36:G44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9"/>
  <sheetViews>
    <sheetView showZeros="0" tabSelected="1" workbookViewId="0" topLeftCell="A1">
      <selection activeCell="J4" sqref="J4"/>
    </sheetView>
  </sheetViews>
  <sheetFormatPr defaultColWidth="9.140625" defaultRowHeight="12.75"/>
  <cols>
    <col min="1" max="1" width="7.421875" style="19" customWidth="1"/>
    <col min="2" max="2" width="6.140625" style="19" customWidth="1"/>
    <col min="3" max="3" width="10.00390625" style="19" customWidth="1"/>
    <col min="4" max="4" width="15.8515625" style="19" customWidth="1"/>
    <col min="5" max="5" width="11.28125" style="19" customWidth="1"/>
    <col min="6" max="6" width="10.8515625" style="19" customWidth="1"/>
    <col min="7" max="7" width="11.00390625" style="19" customWidth="1"/>
    <col min="8" max="8" width="7.57421875" style="19" customWidth="1"/>
    <col min="9" max="9" width="8.421875" style="19" customWidth="1"/>
    <col min="10" max="16384" width="9.140625" style="19" customWidth="1"/>
  </cols>
  <sheetData>
    <row r="1" spans="1:9" ht="13.5" thickTop="1">
      <c r="A1" s="213" t="s">
        <v>202</v>
      </c>
      <c r="B1" s="214"/>
      <c r="C1" s="88" t="str">
        <f>CONCATENATE(cislostavby," ",nazevstavby)</f>
        <v> OIP-Středočeský kraj-REKONSTRUKCE KOTELNY</v>
      </c>
      <c r="D1" s="89"/>
      <c r="E1" s="90"/>
      <c r="F1" s="89"/>
      <c r="G1" s="91" t="s">
        <v>248</v>
      </c>
      <c r="H1" s="92"/>
      <c r="I1" s="93"/>
    </row>
    <row r="2" spans="1:9" ht="13.5" thickBot="1">
      <c r="A2" s="215" t="s">
        <v>199</v>
      </c>
      <c r="B2" s="216"/>
      <c r="C2" s="94" t="str">
        <f>+'Krycí list'!C4</f>
        <v>1.4.e, h, i  Elektro a MAR</v>
      </c>
      <c r="D2" s="95"/>
      <c r="E2" s="96"/>
      <c r="F2" s="95"/>
      <c r="G2" s="217"/>
      <c r="H2" s="218"/>
      <c r="I2" s="219"/>
    </row>
    <row r="3" ht="13.5" thickTop="1">
      <c r="F3" s="28"/>
    </row>
    <row r="4" spans="1:9" ht="19.5" customHeight="1">
      <c r="A4" s="97" t="s">
        <v>249</v>
      </c>
      <c r="B4" s="17"/>
      <c r="C4" s="17"/>
      <c r="D4" s="17"/>
      <c r="E4" s="98"/>
      <c r="F4" s="17"/>
      <c r="G4" s="17"/>
      <c r="H4" s="17"/>
      <c r="I4" s="17"/>
    </row>
    <row r="5" ht="13.5" thickBot="1"/>
    <row r="6" spans="1:9" s="28" customFormat="1" ht="13.5" thickBot="1">
      <c r="A6" s="99"/>
      <c r="B6" s="100" t="s">
        <v>250</v>
      </c>
      <c r="C6" s="100"/>
      <c r="D6" s="101"/>
      <c r="E6" s="102" t="s">
        <v>251</v>
      </c>
      <c r="F6" s="103" t="s">
        <v>252</v>
      </c>
      <c r="G6" s="103" t="s">
        <v>192</v>
      </c>
      <c r="H6" s="103" t="s">
        <v>195</v>
      </c>
      <c r="I6" s="104" t="s">
        <v>229</v>
      </c>
    </row>
    <row r="7" spans="1:9" s="28" customFormat="1" ht="12.75">
      <c r="A7" s="179"/>
      <c r="B7" s="166" t="s">
        <v>270</v>
      </c>
      <c r="C7" s="167"/>
      <c r="D7" s="168"/>
      <c r="E7" s="169"/>
      <c r="F7" s="170"/>
      <c r="G7" s="170"/>
      <c r="H7" s="170"/>
      <c r="I7" s="171"/>
    </row>
    <row r="8" spans="1:9" s="28" customFormat="1" ht="13.5">
      <c r="A8" s="180" t="str">
        <f>+'Stavební rozpočet'!C11</f>
        <v>M20VD</v>
      </c>
      <c r="B8" s="163" t="str">
        <f>+'Stavební rozpočet'!D11</f>
        <v>Regulace a měření</v>
      </c>
      <c r="D8" s="105"/>
      <c r="E8" s="162">
        <f>+'Stavební rozpočet'!J11</f>
        <v>0</v>
      </c>
      <c r="F8" s="164"/>
      <c r="G8" s="165"/>
      <c r="H8" s="165"/>
      <c r="I8" s="106"/>
    </row>
    <row r="9" spans="1:9" s="28" customFormat="1" ht="13.5">
      <c r="A9" s="180" t="str">
        <f>+'Stavební rozpočet'!C29</f>
        <v>M21</v>
      </c>
      <c r="B9" s="163" t="str">
        <f>+'Stavební rozpočet'!D29</f>
        <v>Elektromontáže</v>
      </c>
      <c r="D9" s="105"/>
      <c r="E9" s="161">
        <f>+'Stavební rozpočet'!J29</f>
        <v>0</v>
      </c>
      <c r="F9" s="165"/>
      <c r="G9" s="165"/>
      <c r="H9" s="47"/>
      <c r="I9" s="172"/>
    </row>
    <row r="10" spans="1:9" s="28" customFormat="1" ht="13.5">
      <c r="A10" s="180" t="str">
        <f>+'Stavební rozpočet'!C59</f>
        <v>M10VD</v>
      </c>
      <c r="B10" s="163" t="str">
        <f>+'Stavební rozpočet'!D59</f>
        <v>Rozváděč RK</v>
      </c>
      <c r="D10" s="105"/>
      <c r="E10" s="161">
        <f>+'Stavební rozpočet'!J59</f>
        <v>0</v>
      </c>
      <c r="F10" s="165"/>
      <c r="G10" s="165"/>
      <c r="H10" s="47"/>
      <c r="I10" s="172"/>
    </row>
    <row r="11" spans="1:9" s="28" customFormat="1" ht="13.5">
      <c r="A11" s="180" t="str">
        <f>+'Stavební rozpočet'!C75</f>
        <v>M10VD</v>
      </c>
      <c r="B11" s="163" t="str">
        <f>+'Stavební rozpočet'!D75</f>
        <v>Úprava stávajícího rozváděče RH</v>
      </c>
      <c r="D11" s="105"/>
      <c r="E11" s="161">
        <f>+'Stavební rozpočet'!J75</f>
        <v>0</v>
      </c>
      <c r="F11" s="165"/>
      <c r="G11" s="165"/>
      <c r="H11" s="47"/>
      <c r="I11" s="172"/>
    </row>
    <row r="12" spans="1:9" s="28" customFormat="1" ht="13.5">
      <c r="A12" s="180" t="str">
        <f>+'Stavební rozpočet'!C85</f>
        <v>M10VD</v>
      </c>
      <c r="B12" s="163" t="str">
        <f>+'Stavební rozpočet'!D85</f>
        <v>Svorkovnicová skříň dt-1</v>
      </c>
      <c r="D12" s="105"/>
      <c r="E12" s="161">
        <f>+'Stavební rozpočet'!J85</f>
        <v>0</v>
      </c>
      <c r="F12" s="165"/>
      <c r="G12" s="165"/>
      <c r="H12" s="47"/>
      <c r="I12" s="172"/>
    </row>
    <row r="13" spans="1:9" s="28" customFormat="1" ht="13.5">
      <c r="A13" s="180" t="str">
        <f>+'Stavební rozpočet'!C89</f>
        <v>M10VD</v>
      </c>
      <c r="B13" s="163" t="str">
        <f>+'Stavební rozpočet'!D89</f>
        <v>Svorkovnicová skříň dt-2</v>
      </c>
      <c r="D13" s="105"/>
      <c r="E13" s="161">
        <f>+'Stavební rozpočet'!J89</f>
        <v>0</v>
      </c>
      <c r="F13" s="165"/>
      <c r="G13" s="165"/>
      <c r="H13" s="47"/>
      <c r="I13" s="172"/>
    </row>
    <row r="14" spans="1:9" s="28" customFormat="1" ht="13.5" thickBot="1">
      <c r="A14" s="181"/>
      <c r="B14" s="173"/>
      <c r="C14" s="174"/>
      <c r="D14" s="175"/>
      <c r="E14" s="176"/>
      <c r="F14" s="177"/>
      <c r="G14" s="177"/>
      <c r="H14" s="177"/>
      <c r="I14" s="178"/>
    </row>
    <row r="15" spans="1:9" s="113" customFormat="1" ht="13.5" thickBot="1">
      <c r="A15" s="107"/>
      <c r="B15" s="108" t="s">
        <v>253</v>
      </c>
      <c r="C15" s="108"/>
      <c r="D15" s="109"/>
      <c r="E15" s="110">
        <f>SUM(E8:E13)</f>
        <v>0</v>
      </c>
      <c r="F15" s="111">
        <f>SUM(F8:F9)</f>
        <v>0</v>
      </c>
      <c r="G15" s="111">
        <f>SUM(G8:G9)</f>
        <v>0</v>
      </c>
      <c r="H15" s="111">
        <f>SUM(H8:H9)</f>
        <v>0</v>
      </c>
      <c r="I15" s="112">
        <f>SUM(I8:I9)</f>
        <v>0</v>
      </c>
    </row>
    <row r="16" spans="1:9" ht="12.75">
      <c r="A16" s="28"/>
      <c r="B16" s="28"/>
      <c r="C16" s="28"/>
      <c r="D16" s="28"/>
      <c r="E16" s="28"/>
      <c r="F16" s="28"/>
      <c r="G16" s="28"/>
      <c r="H16" s="28"/>
      <c r="I16" s="28"/>
    </row>
    <row r="17" spans="1:57" ht="19.5" customHeight="1">
      <c r="A17" s="17" t="s">
        <v>254</v>
      </c>
      <c r="B17" s="17"/>
      <c r="C17" s="17"/>
      <c r="D17" s="17"/>
      <c r="E17" s="17"/>
      <c r="F17" s="17"/>
      <c r="G17" s="114"/>
      <c r="H17" s="17"/>
      <c r="I17" s="17"/>
      <c r="BA17" s="48"/>
      <c r="BB17" s="48"/>
      <c r="BC17" s="48"/>
      <c r="BD17" s="48"/>
      <c r="BE17" s="48"/>
    </row>
    <row r="18" ht="13.5" thickBot="1"/>
    <row r="19" spans="1:9" ht="12.75">
      <c r="A19" s="115" t="s">
        <v>255</v>
      </c>
      <c r="B19" s="116"/>
      <c r="C19" s="116"/>
      <c r="D19" s="117"/>
      <c r="E19" s="118" t="s">
        <v>256</v>
      </c>
      <c r="F19" s="119" t="s">
        <v>257</v>
      </c>
      <c r="G19" s="120" t="s">
        <v>258</v>
      </c>
      <c r="H19" s="121"/>
      <c r="I19" s="122" t="s">
        <v>256</v>
      </c>
    </row>
    <row r="20" spans="1:53" ht="12.75">
      <c r="A20" s="123" t="s">
        <v>259</v>
      </c>
      <c r="B20" s="124"/>
      <c r="C20" s="124"/>
      <c r="D20" s="125"/>
      <c r="E20" s="126">
        <v>0</v>
      </c>
      <c r="F20" s="127">
        <v>0</v>
      </c>
      <c r="G20" s="128">
        <f aca="true" t="shared" si="0" ref="G20:G27">+$E$15</f>
        <v>0</v>
      </c>
      <c r="H20" s="129"/>
      <c r="I20" s="130">
        <f aca="true" t="shared" si="1" ref="I20:I27">E20+F20*G20/100</f>
        <v>0</v>
      </c>
      <c r="BA20" s="19">
        <v>0</v>
      </c>
    </row>
    <row r="21" spans="1:53" ht="12.75">
      <c r="A21" s="123" t="s">
        <v>260</v>
      </c>
      <c r="B21" s="124"/>
      <c r="C21" s="124"/>
      <c r="D21" s="125"/>
      <c r="E21" s="126">
        <v>0</v>
      </c>
      <c r="F21" s="127">
        <v>0</v>
      </c>
      <c r="G21" s="128">
        <f t="shared" si="0"/>
        <v>0</v>
      </c>
      <c r="H21" s="129"/>
      <c r="I21" s="130">
        <f t="shared" si="1"/>
        <v>0</v>
      </c>
      <c r="BA21" s="19">
        <v>0</v>
      </c>
    </row>
    <row r="22" spans="1:53" ht="12.75">
      <c r="A22" s="123" t="s">
        <v>261</v>
      </c>
      <c r="B22" s="124"/>
      <c r="C22" s="124"/>
      <c r="D22" s="125"/>
      <c r="E22" s="126">
        <v>0</v>
      </c>
      <c r="F22" s="127">
        <v>0</v>
      </c>
      <c r="G22" s="128">
        <f t="shared" si="0"/>
        <v>0</v>
      </c>
      <c r="H22" s="129"/>
      <c r="I22" s="130">
        <f t="shared" si="1"/>
        <v>0</v>
      </c>
      <c r="BA22" s="19">
        <v>0</v>
      </c>
    </row>
    <row r="23" spans="1:53" ht="12.75">
      <c r="A23" s="123" t="s">
        <v>262</v>
      </c>
      <c r="B23" s="124"/>
      <c r="C23" s="124"/>
      <c r="D23" s="125"/>
      <c r="E23" s="126">
        <v>0</v>
      </c>
      <c r="F23" s="127">
        <v>0</v>
      </c>
      <c r="G23" s="128">
        <f t="shared" si="0"/>
        <v>0</v>
      </c>
      <c r="H23" s="129"/>
      <c r="I23" s="130">
        <f t="shared" si="1"/>
        <v>0</v>
      </c>
      <c r="BA23" s="19">
        <v>0</v>
      </c>
    </row>
    <row r="24" spans="1:53" ht="12.75">
      <c r="A24" s="123" t="s">
        <v>263</v>
      </c>
      <c r="B24" s="124"/>
      <c r="C24" s="124"/>
      <c r="D24" s="125"/>
      <c r="E24" s="126">
        <v>0</v>
      </c>
      <c r="F24" s="127">
        <v>0</v>
      </c>
      <c r="G24" s="128">
        <f t="shared" si="0"/>
        <v>0</v>
      </c>
      <c r="H24" s="129"/>
      <c r="I24" s="130">
        <f t="shared" si="1"/>
        <v>0</v>
      </c>
      <c r="BA24" s="19">
        <v>1</v>
      </c>
    </row>
    <row r="25" spans="1:53" ht="12.75">
      <c r="A25" s="123" t="s">
        <v>264</v>
      </c>
      <c r="B25" s="124"/>
      <c r="C25" s="124"/>
      <c r="D25" s="125"/>
      <c r="E25" s="126">
        <v>0</v>
      </c>
      <c r="F25" s="127">
        <v>0</v>
      </c>
      <c r="G25" s="128">
        <f t="shared" si="0"/>
        <v>0</v>
      </c>
      <c r="H25" s="129"/>
      <c r="I25" s="130">
        <f t="shared" si="1"/>
        <v>0</v>
      </c>
      <c r="BA25" s="19">
        <v>1</v>
      </c>
    </row>
    <row r="26" spans="1:53" ht="12.75">
      <c r="A26" s="123" t="s">
        <v>265</v>
      </c>
      <c r="B26" s="124"/>
      <c r="C26" s="124"/>
      <c r="D26" s="125"/>
      <c r="E26" s="126">
        <v>0</v>
      </c>
      <c r="F26" s="127">
        <v>0</v>
      </c>
      <c r="G26" s="128">
        <f t="shared" si="0"/>
        <v>0</v>
      </c>
      <c r="H26" s="129"/>
      <c r="I26" s="130">
        <f t="shared" si="1"/>
        <v>0</v>
      </c>
      <c r="BA26" s="19">
        <v>2</v>
      </c>
    </row>
    <row r="27" spans="1:53" ht="12.75">
      <c r="A27" s="123" t="s">
        <v>266</v>
      </c>
      <c r="B27" s="124"/>
      <c r="C27" s="124"/>
      <c r="D27" s="125"/>
      <c r="E27" s="126">
        <v>0</v>
      </c>
      <c r="F27" s="127">
        <v>0</v>
      </c>
      <c r="G27" s="128">
        <f t="shared" si="0"/>
        <v>0</v>
      </c>
      <c r="H27" s="129"/>
      <c r="I27" s="130">
        <f t="shared" si="1"/>
        <v>0</v>
      </c>
      <c r="BA27" s="19">
        <v>2</v>
      </c>
    </row>
    <row r="28" spans="1:9" ht="13.5" thickBot="1">
      <c r="A28" s="131"/>
      <c r="B28" s="132" t="s">
        <v>267</v>
      </c>
      <c r="C28" s="133"/>
      <c r="D28" s="134"/>
      <c r="E28" s="135"/>
      <c r="F28" s="136"/>
      <c r="G28" s="136"/>
      <c r="H28" s="220">
        <f>SUM(I20:I27)</f>
        <v>0</v>
      </c>
      <c r="I28" s="221"/>
    </row>
    <row r="30" spans="2:9" ht="12.75">
      <c r="B30" s="113"/>
      <c r="F30" s="137"/>
      <c r="G30" s="138"/>
      <c r="H30" s="138"/>
      <c r="I30" s="139"/>
    </row>
    <row r="31" spans="6:9" ht="12.75">
      <c r="F31" s="137"/>
      <c r="G31" s="138"/>
      <c r="H31" s="138"/>
      <c r="I31" s="139"/>
    </row>
    <row r="32" spans="6:9" ht="12.75">
      <c r="F32" s="137"/>
      <c r="G32" s="138"/>
      <c r="H32" s="138"/>
      <c r="I32" s="139"/>
    </row>
    <row r="33" spans="6:9" ht="12.75">
      <c r="F33" s="137"/>
      <c r="G33" s="138"/>
      <c r="H33" s="138"/>
      <c r="I33" s="139"/>
    </row>
    <row r="34" spans="6:9" ht="12.75">
      <c r="F34" s="137"/>
      <c r="G34" s="138"/>
      <c r="H34" s="138"/>
      <c r="I34" s="139"/>
    </row>
    <row r="35" spans="6:9" ht="12.75">
      <c r="F35" s="137"/>
      <c r="G35" s="138"/>
      <c r="H35" s="138"/>
      <c r="I35" s="139"/>
    </row>
    <row r="36" spans="6:9" ht="12.75">
      <c r="F36" s="137"/>
      <c r="G36" s="138"/>
      <c r="H36" s="138"/>
      <c r="I36" s="139"/>
    </row>
    <row r="37" spans="6:9" ht="12.75">
      <c r="F37" s="137"/>
      <c r="G37" s="138"/>
      <c r="H37" s="138"/>
      <c r="I37" s="139"/>
    </row>
    <row r="38" spans="6:9" ht="12.75">
      <c r="F38" s="137"/>
      <c r="G38" s="138"/>
      <c r="H38" s="138"/>
      <c r="I38" s="139"/>
    </row>
    <row r="39" spans="6:9" ht="12.75">
      <c r="F39" s="137"/>
      <c r="G39" s="138"/>
      <c r="H39" s="138"/>
      <c r="I39" s="139"/>
    </row>
    <row r="40" spans="6:9" ht="12.75">
      <c r="F40" s="137"/>
      <c r="G40" s="138"/>
      <c r="H40" s="138"/>
      <c r="I40" s="139"/>
    </row>
    <row r="41" spans="6:9" ht="12.75">
      <c r="F41" s="137"/>
      <c r="G41" s="138"/>
      <c r="H41" s="138"/>
      <c r="I41" s="139"/>
    </row>
    <row r="42" spans="6:9" ht="12.75">
      <c r="F42" s="137"/>
      <c r="G42" s="138"/>
      <c r="H42" s="138"/>
      <c r="I42" s="139"/>
    </row>
    <row r="43" spans="6:9" ht="12.75">
      <c r="F43" s="137"/>
      <c r="G43" s="138"/>
      <c r="H43" s="138"/>
      <c r="I43" s="139"/>
    </row>
    <row r="44" spans="6:9" ht="12.75">
      <c r="F44" s="137"/>
      <c r="G44" s="138"/>
      <c r="H44" s="138"/>
      <c r="I44" s="139"/>
    </row>
    <row r="45" spans="6:9" ht="12.75">
      <c r="F45" s="137"/>
      <c r="G45" s="138"/>
      <c r="H45" s="138"/>
      <c r="I45" s="139"/>
    </row>
    <row r="46" spans="6:9" ht="12.75">
      <c r="F46" s="137"/>
      <c r="G46" s="138"/>
      <c r="H46" s="138"/>
      <c r="I46" s="139"/>
    </row>
    <row r="47" spans="6:9" ht="12.75">
      <c r="F47" s="137"/>
      <c r="G47" s="138"/>
      <c r="H47" s="138"/>
      <c r="I47" s="139"/>
    </row>
    <row r="48" spans="6:9" ht="12.75">
      <c r="F48" s="137"/>
      <c r="G48" s="138"/>
      <c r="H48" s="138"/>
      <c r="I48" s="139"/>
    </row>
    <row r="49" spans="6:9" ht="12.75">
      <c r="F49" s="137"/>
      <c r="G49" s="138"/>
      <c r="H49" s="138"/>
      <c r="I49" s="139"/>
    </row>
    <row r="50" spans="6:9" ht="12.75">
      <c r="F50" s="137"/>
      <c r="G50" s="138"/>
      <c r="H50" s="138"/>
      <c r="I50" s="139"/>
    </row>
    <row r="51" spans="6:9" ht="12.75">
      <c r="F51" s="137"/>
      <c r="G51" s="138"/>
      <c r="H51" s="138"/>
      <c r="I51" s="139"/>
    </row>
    <row r="52" spans="6:9" ht="12.75">
      <c r="F52" s="137"/>
      <c r="G52" s="138"/>
      <c r="H52" s="138"/>
      <c r="I52" s="139"/>
    </row>
    <row r="53" spans="6:9" ht="12.75">
      <c r="F53" s="137"/>
      <c r="G53" s="138"/>
      <c r="H53" s="138"/>
      <c r="I53" s="139"/>
    </row>
    <row r="54" spans="6:9" ht="12.75">
      <c r="F54" s="137"/>
      <c r="G54" s="138"/>
      <c r="H54" s="138"/>
      <c r="I54" s="139"/>
    </row>
    <row r="55" spans="6:9" ht="12.75">
      <c r="F55" s="137"/>
      <c r="G55" s="138"/>
      <c r="H55" s="138"/>
      <c r="I55" s="139"/>
    </row>
    <row r="56" spans="6:9" ht="12.75">
      <c r="F56" s="137"/>
      <c r="G56" s="138"/>
      <c r="H56" s="138"/>
      <c r="I56" s="139"/>
    </row>
    <row r="57" spans="6:9" ht="12.75">
      <c r="F57" s="137"/>
      <c r="G57" s="138"/>
      <c r="H57" s="138"/>
      <c r="I57" s="139"/>
    </row>
    <row r="58" spans="6:9" ht="12.75">
      <c r="F58" s="137"/>
      <c r="G58" s="138"/>
      <c r="H58" s="138"/>
      <c r="I58" s="139"/>
    </row>
    <row r="59" spans="6:9" ht="12.75">
      <c r="F59" s="137"/>
      <c r="G59" s="138"/>
      <c r="H59" s="138"/>
      <c r="I59" s="139"/>
    </row>
    <row r="60" spans="6:9" ht="12.75">
      <c r="F60" s="137"/>
      <c r="G60" s="138"/>
      <c r="H60" s="138"/>
      <c r="I60" s="139"/>
    </row>
    <row r="61" spans="6:9" ht="12.75">
      <c r="F61" s="137"/>
      <c r="G61" s="138"/>
      <c r="H61" s="138"/>
      <c r="I61" s="139"/>
    </row>
    <row r="62" spans="6:9" ht="12.75">
      <c r="F62" s="137"/>
      <c r="G62" s="138"/>
      <c r="H62" s="138"/>
      <c r="I62" s="139"/>
    </row>
    <row r="63" spans="6:9" ht="12.75">
      <c r="F63" s="137"/>
      <c r="G63" s="138"/>
      <c r="H63" s="138"/>
      <c r="I63" s="139"/>
    </row>
    <row r="64" spans="6:9" ht="12.75">
      <c r="F64" s="137"/>
      <c r="G64" s="138"/>
      <c r="H64" s="138"/>
      <c r="I64" s="139"/>
    </row>
    <row r="65" spans="6:9" ht="12.75">
      <c r="F65" s="137"/>
      <c r="G65" s="138"/>
      <c r="H65" s="138"/>
      <c r="I65" s="139"/>
    </row>
    <row r="66" spans="6:9" ht="12.75">
      <c r="F66" s="137"/>
      <c r="G66" s="138"/>
      <c r="H66" s="138"/>
      <c r="I66" s="139"/>
    </row>
    <row r="67" spans="6:9" ht="12.75">
      <c r="F67" s="137"/>
      <c r="G67" s="138"/>
      <c r="H67" s="138"/>
      <c r="I67" s="139"/>
    </row>
    <row r="68" spans="6:9" ht="12.75">
      <c r="F68" s="137"/>
      <c r="G68" s="138"/>
      <c r="H68" s="138"/>
      <c r="I68" s="139"/>
    </row>
    <row r="69" spans="6:9" ht="12.75">
      <c r="F69" s="137"/>
      <c r="G69" s="138"/>
      <c r="H69" s="138"/>
      <c r="I69" s="139"/>
    </row>
    <row r="70" spans="6:9" ht="12.75">
      <c r="F70" s="137"/>
      <c r="G70" s="138"/>
      <c r="H70" s="138"/>
      <c r="I70" s="139"/>
    </row>
    <row r="71" spans="6:9" ht="12.75">
      <c r="F71" s="137"/>
      <c r="G71" s="138"/>
      <c r="H71" s="138"/>
      <c r="I71" s="139"/>
    </row>
    <row r="72" spans="6:9" ht="12.75">
      <c r="F72" s="137"/>
      <c r="G72" s="138"/>
      <c r="H72" s="138"/>
      <c r="I72" s="139"/>
    </row>
    <row r="73" spans="6:9" ht="12.75">
      <c r="F73" s="137"/>
      <c r="G73" s="138"/>
      <c r="H73" s="138"/>
      <c r="I73" s="139"/>
    </row>
    <row r="74" spans="6:9" ht="12.75">
      <c r="F74" s="137"/>
      <c r="G74" s="138"/>
      <c r="H74" s="138"/>
      <c r="I74" s="139"/>
    </row>
    <row r="75" spans="6:9" ht="12.75">
      <c r="F75" s="137"/>
      <c r="G75" s="138"/>
      <c r="H75" s="138"/>
      <c r="I75" s="139"/>
    </row>
    <row r="76" spans="6:9" ht="12.75">
      <c r="F76" s="137"/>
      <c r="G76" s="138"/>
      <c r="H76" s="138"/>
      <c r="I76" s="139"/>
    </row>
    <row r="77" spans="6:9" ht="12.75">
      <c r="F77" s="137"/>
      <c r="G77" s="138"/>
      <c r="H77" s="138"/>
      <c r="I77" s="139"/>
    </row>
    <row r="78" spans="6:9" ht="12.75">
      <c r="F78" s="137"/>
      <c r="G78" s="138"/>
      <c r="H78" s="138"/>
      <c r="I78" s="139"/>
    </row>
    <row r="79" spans="6:9" ht="12.75">
      <c r="F79" s="137"/>
      <c r="G79" s="138"/>
      <c r="H79" s="138"/>
      <c r="I79" s="139"/>
    </row>
  </sheetData>
  <mergeCells count="4">
    <mergeCell ref="A1:B1"/>
    <mergeCell ref="A2:B2"/>
    <mergeCell ref="G2:I2"/>
    <mergeCell ref="H28:I28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showZeros="0" workbookViewId="0" topLeftCell="A1">
      <selection activeCell="J13" sqref="J13"/>
    </sheetView>
  </sheetViews>
  <sheetFormatPr defaultColWidth="9.140625" defaultRowHeight="12.75"/>
  <cols>
    <col min="1" max="1" width="3.7109375" style="187" customWidth="1"/>
    <col min="2" max="2" width="7.421875" style="187" customWidth="1"/>
    <col min="3" max="3" width="13.8515625" style="187" customWidth="1"/>
    <col min="4" max="4" width="40.57421875" style="187" customWidth="1"/>
    <col min="5" max="5" width="4.28125" style="187" customWidth="1"/>
    <col min="6" max="6" width="10.140625" style="187" customWidth="1"/>
    <col min="7" max="7" width="11.00390625" style="187" customWidth="1"/>
    <col min="8" max="9" width="13.140625" style="187" customWidth="1"/>
    <col min="10" max="10" width="12.7109375" style="187" customWidth="1"/>
    <col min="11" max="11" width="6.140625" style="187" customWidth="1"/>
    <col min="12" max="12" width="5.28125" style="187" customWidth="1"/>
    <col min="13" max="16384" width="11.421875" style="187" customWidth="1"/>
  </cols>
  <sheetData>
    <row r="1" spans="1:12" ht="21.75" customHeight="1">
      <c r="A1" s="237" t="s">
        <v>268</v>
      </c>
      <c r="B1" s="238"/>
      <c r="C1" s="238"/>
      <c r="D1" s="238"/>
      <c r="E1" s="238"/>
      <c r="F1" s="238"/>
      <c r="G1" s="238"/>
      <c r="H1" s="238"/>
      <c r="I1" s="238"/>
      <c r="J1" s="238"/>
      <c r="K1" s="152"/>
      <c r="L1" s="153"/>
    </row>
    <row r="2" spans="1:13" ht="12.75">
      <c r="A2" s="222" t="s">
        <v>0</v>
      </c>
      <c r="B2" s="223"/>
      <c r="C2" s="223"/>
      <c r="D2" s="243" t="s">
        <v>122</v>
      </c>
      <c r="E2" s="226" t="s">
        <v>182</v>
      </c>
      <c r="F2" s="223"/>
      <c r="G2" s="226"/>
      <c r="H2" s="223"/>
      <c r="I2" s="226" t="s">
        <v>194</v>
      </c>
      <c r="J2" s="140"/>
      <c r="K2" s="141"/>
      <c r="L2" s="142"/>
      <c r="M2" s="15"/>
    </row>
    <row r="3" spans="1:13" ht="12.75">
      <c r="A3" s="224"/>
      <c r="B3" s="225"/>
      <c r="C3" s="225"/>
      <c r="D3" s="232"/>
      <c r="E3" s="225"/>
      <c r="F3" s="225"/>
      <c r="G3" s="225"/>
      <c r="H3" s="225"/>
      <c r="I3" s="225"/>
      <c r="J3" s="143"/>
      <c r="K3" s="144"/>
      <c r="L3" s="145"/>
      <c r="M3" s="15"/>
    </row>
    <row r="4" spans="1:13" ht="8.25" customHeight="1">
      <c r="A4" s="241"/>
      <c r="B4" s="225"/>
      <c r="C4" s="225"/>
      <c r="D4" s="234"/>
      <c r="E4" s="234"/>
      <c r="F4" s="225"/>
      <c r="G4" s="236"/>
      <c r="H4" s="225"/>
      <c r="I4" s="234"/>
      <c r="J4" s="146"/>
      <c r="K4" s="147"/>
      <c r="L4" s="148"/>
      <c r="M4" s="15"/>
    </row>
    <row r="5" spans="1:13" ht="5.25" customHeight="1">
      <c r="A5" s="242"/>
      <c r="B5" s="235"/>
      <c r="C5" s="235"/>
      <c r="D5" s="235"/>
      <c r="E5" s="235"/>
      <c r="F5" s="235"/>
      <c r="G5" s="235"/>
      <c r="H5" s="235"/>
      <c r="I5" s="235"/>
      <c r="J5" s="149"/>
      <c r="K5" s="150"/>
      <c r="L5" s="151"/>
      <c r="M5" s="15"/>
    </row>
    <row r="6" spans="1:13" ht="12.75">
      <c r="A6" s="2" t="s">
        <v>1</v>
      </c>
      <c r="B6" s="6" t="s">
        <v>1</v>
      </c>
      <c r="C6" s="6" t="s">
        <v>1</v>
      </c>
      <c r="D6" s="6" t="s">
        <v>1</v>
      </c>
      <c r="E6" s="6" t="s">
        <v>1</v>
      </c>
      <c r="F6" s="6" t="s">
        <v>1</v>
      </c>
      <c r="G6" s="10" t="s">
        <v>189</v>
      </c>
      <c r="H6" s="227" t="s">
        <v>191</v>
      </c>
      <c r="I6" s="240"/>
      <c r="J6" s="228"/>
      <c r="K6" s="227" t="s">
        <v>197</v>
      </c>
      <c r="L6" s="228"/>
      <c r="M6" s="16"/>
    </row>
    <row r="7" spans="1:13" ht="13.5" thickBot="1">
      <c r="A7" s="3" t="s">
        <v>2</v>
      </c>
      <c r="B7" s="7" t="s">
        <v>62</v>
      </c>
      <c r="C7" s="7" t="s">
        <v>68</v>
      </c>
      <c r="D7" s="7" t="s">
        <v>123</v>
      </c>
      <c r="E7" s="7" t="s">
        <v>183</v>
      </c>
      <c r="F7" s="8" t="s">
        <v>188</v>
      </c>
      <c r="G7" s="11" t="s">
        <v>190</v>
      </c>
      <c r="H7" s="12" t="s">
        <v>192</v>
      </c>
      <c r="I7" s="13" t="s">
        <v>195</v>
      </c>
      <c r="J7" s="14" t="s">
        <v>196</v>
      </c>
      <c r="K7" s="159" t="s">
        <v>189</v>
      </c>
      <c r="L7" s="160" t="s">
        <v>269</v>
      </c>
      <c r="M7" s="16"/>
    </row>
    <row r="8" spans="1:13" ht="12.75">
      <c r="A8" s="182"/>
      <c r="B8" s="182"/>
      <c r="C8" s="182"/>
      <c r="D8" s="182"/>
      <c r="E8" s="182"/>
      <c r="F8" s="183"/>
      <c r="G8" s="184"/>
      <c r="H8" s="183"/>
      <c r="I8" s="183"/>
      <c r="J8" s="183"/>
      <c r="K8" s="185"/>
      <c r="L8" s="185"/>
      <c r="M8" s="186"/>
    </row>
    <row r="9" spans="1:13" ht="12.75">
      <c r="A9" s="182"/>
      <c r="B9" s="182"/>
      <c r="C9" s="182"/>
      <c r="D9" s="182"/>
      <c r="E9" s="182"/>
      <c r="F9" s="183"/>
      <c r="G9" s="184"/>
      <c r="H9" s="183"/>
      <c r="I9" s="183"/>
      <c r="J9" s="183"/>
      <c r="K9" s="185"/>
      <c r="L9" s="185"/>
      <c r="M9" s="186"/>
    </row>
    <row r="11" spans="1:12" ht="12.75">
      <c r="A11" s="4"/>
      <c r="B11" s="4"/>
      <c r="C11" s="188" t="s">
        <v>69</v>
      </c>
      <c r="D11" s="231" t="s">
        <v>125</v>
      </c>
      <c r="E11" s="232"/>
      <c r="F11" s="232"/>
      <c r="G11" s="233"/>
      <c r="H11" s="198">
        <f>SUM(H12:H28)</f>
        <v>0</v>
      </c>
      <c r="I11" s="198">
        <f>SUM(I12:I28)</f>
        <v>0</v>
      </c>
      <c r="J11" s="198">
        <f aca="true" t="shared" si="0" ref="J11:J50">H11+I11</f>
        <v>0</v>
      </c>
      <c r="K11" s="199"/>
      <c r="L11" s="198">
        <f>SUM(L12:L19)</f>
        <v>0</v>
      </c>
    </row>
    <row r="12" spans="1:12" ht="12.75">
      <c r="A12" s="4" t="s">
        <v>3</v>
      </c>
      <c r="B12" s="4" t="s">
        <v>63</v>
      </c>
      <c r="C12" s="4" t="s">
        <v>70</v>
      </c>
      <c r="D12" s="154" t="s">
        <v>126</v>
      </c>
      <c r="E12" s="4" t="s">
        <v>184</v>
      </c>
      <c r="F12" s="197">
        <v>4</v>
      </c>
      <c r="G12" s="201"/>
      <c r="H12" s="201">
        <f>F12*G12*0.902922755741127</f>
        <v>0</v>
      </c>
      <c r="I12" s="201">
        <f>F12*G12*(1-0.902922755741127)</f>
        <v>0</v>
      </c>
      <c r="J12" s="201">
        <f t="shared" si="0"/>
        <v>0</v>
      </c>
      <c r="K12" s="201">
        <v>0</v>
      </c>
      <c r="L12" s="201">
        <f aca="true" t="shared" si="1" ref="L12:L25">F12*K12</f>
        <v>0</v>
      </c>
    </row>
    <row r="13" spans="1:12" ht="26.25">
      <c r="A13" s="4" t="s">
        <v>4</v>
      </c>
      <c r="B13" s="4" t="s">
        <v>63</v>
      </c>
      <c r="C13" s="4" t="s">
        <v>71</v>
      </c>
      <c r="D13" s="154" t="s">
        <v>127</v>
      </c>
      <c r="E13" s="4" t="s">
        <v>184</v>
      </c>
      <c r="F13" s="197">
        <v>3</v>
      </c>
      <c r="G13" s="201"/>
      <c r="H13" s="201">
        <f>F13*G13*0.826829268292683</f>
        <v>0</v>
      </c>
      <c r="I13" s="201">
        <f>F13*G13*(1-0.826829268292683)</f>
        <v>0</v>
      </c>
      <c r="J13" s="201">
        <f t="shared" si="0"/>
        <v>0</v>
      </c>
      <c r="K13" s="201">
        <v>0</v>
      </c>
      <c r="L13" s="201">
        <f t="shared" si="1"/>
        <v>0</v>
      </c>
    </row>
    <row r="14" spans="1:12" ht="12.75">
      <c r="A14" s="4" t="s">
        <v>5</v>
      </c>
      <c r="B14" s="4" t="s">
        <v>63</v>
      </c>
      <c r="C14" s="4" t="s">
        <v>72</v>
      </c>
      <c r="D14" s="154" t="s">
        <v>128</v>
      </c>
      <c r="E14" s="4" t="s">
        <v>184</v>
      </c>
      <c r="F14" s="197">
        <v>1</v>
      </c>
      <c r="G14" s="201"/>
      <c r="H14" s="201">
        <f>F14*G14*0.916585838991271</f>
        <v>0</v>
      </c>
      <c r="I14" s="201">
        <f>F14*G14*(1-0.916585838991271)</f>
        <v>0</v>
      </c>
      <c r="J14" s="201">
        <f t="shared" si="0"/>
        <v>0</v>
      </c>
      <c r="K14" s="201">
        <v>0</v>
      </c>
      <c r="L14" s="201">
        <f t="shared" si="1"/>
        <v>0</v>
      </c>
    </row>
    <row r="15" spans="1:12" ht="12.75">
      <c r="A15" s="4" t="s">
        <v>6</v>
      </c>
      <c r="B15" s="4" t="s">
        <v>63</v>
      </c>
      <c r="C15" s="4" t="s">
        <v>73</v>
      </c>
      <c r="D15" s="154" t="s">
        <v>129</v>
      </c>
      <c r="E15" s="4" t="s">
        <v>184</v>
      </c>
      <c r="F15" s="197">
        <v>2</v>
      </c>
      <c r="G15" s="201"/>
      <c r="H15" s="201">
        <f>F15*G15*0.895450145208132</f>
        <v>0</v>
      </c>
      <c r="I15" s="201">
        <f>F15*G15*(1-0.895450145208132)</f>
        <v>0</v>
      </c>
      <c r="J15" s="201">
        <f t="shared" si="0"/>
        <v>0</v>
      </c>
      <c r="K15" s="201">
        <v>0</v>
      </c>
      <c r="L15" s="201">
        <f t="shared" si="1"/>
        <v>0</v>
      </c>
    </row>
    <row r="16" spans="1:12" ht="12.75">
      <c r="A16" s="4" t="s">
        <v>7</v>
      </c>
      <c r="B16" s="4" t="s">
        <v>63</v>
      </c>
      <c r="C16" s="4" t="s">
        <v>74</v>
      </c>
      <c r="D16" s="154" t="s">
        <v>130</v>
      </c>
      <c r="E16" s="4" t="s">
        <v>184</v>
      </c>
      <c r="F16" s="197">
        <v>1</v>
      </c>
      <c r="G16" s="201"/>
      <c r="H16" s="201">
        <f>F16*G16*0.843694493783304</f>
        <v>0</v>
      </c>
      <c r="I16" s="201">
        <f>F16*G16*(1-0.843694493783304)</f>
        <v>0</v>
      </c>
      <c r="J16" s="201">
        <f t="shared" si="0"/>
        <v>0</v>
      </c>
      <c r="K16" s="201">
        <v>0</v>
      </c>
      <c r="L16" s="201">
        <f t="shared" si="1"/>
        <v>0</v>
      </c>
    </row>
    <row r="17" spans="1:12" ht="12.75">
      <c r="A17" s="4" t="s">
        <v>8</v>
      </c>
      <c r="B17" s="4" t="s">
        <v>63</v>
      </c>
      <c r="C17" s="4" t="s">
        <v>75</v>
      </c>
      <c r="D17" s="154" t="s">
        <v>131</v>
      </c>
      <c r="E17" s="4" t="s">
        <v>184</v>
      </c>
      <c r="F17" s="197">
        <v>1</v>
      </c>
      <c r="G17" s="201"/>
      <c r="H17" s="201">
        <f>F17*G17*0.874524714828897</f>
        <v>0</v>
      </c>
      <c r="I17" s="201">
        <f>F17*G17*(1-0.874524714828897)</f>
        <v>0</v>
      </c>
      <c r="J17" s="201">
        <f t="shared" si="0"/>
        <v>0</v>
      </c>
      <c r="K17" s="201">
        <v>0</v>
      </c>
      <c r="L17" s="201">
        <f t="shared" si="1"/>
        <v>0</v>
      </c>
    </row>
    <row r="18" spans="1:12" ht="12.75">
      <c r="A18" s="4" t="s">
        <v>9</v>
      </c>
      <c r="B18" s="4" t="s">
        <v>63</v>
      </c>
      <c r="C18" s="4" t="s">
        <v>76</v>
      </c>
      <c r="D18" s="154" t="s">
        <v>132</v>
      </c>
      <c r="E18" s="4" t="s">
        <v>184</v>
      </c>
      <c r="F18" s="197">
        <v>1</v>
      </c>
      <c r="G18" s="201"/>
      <c r="H18" s="201">
        <f>F18*G18*0.87887323943662</f>
        <v>0</v>
      </c>
      <c r="I18" s="201">
        <f>F18*G18*(1-0.87887323943662)</f>
        <v>0</v>
      </c>
      <c r="J18" s="201">
        <f t="shared" si="0"/>
        <v>0</v>
      </c>
      <c r="K18" s="201">
        <v>0</v>
      </c>
      <c r="L18" s="201">
        <f t="shared" si="1"/>
        <v>0</v>
      </c>
    </row>
    <row r="19" spans="1:12" ht="29.25" customHeight="1">
      <c r="A19" s="4" t="s">
        <v>10</v>
      </c>
      <c r="B19" s="4" t="s">
        <v>63</v>
      </c>
      <c r="C19" s="4" t="s">
        <v>77</v>
      </c>
      <c r="D19" s="154" t="s">
        <v>133</v>
      </c>
      <c r="E19" s="4" t="s">
        <v>184</v>
      </c>
      <c r="F19" s="197">
        <v>1</v>
      </c>
      <c r="G19" s="201"/>
      <c r="H19" s="201">
        <f>F19*G19*0.920792079207921</f>
        <v>0</v>
      </c>
      <c r="I19" s="201">
        <f>F19*G19*(1-0.920792079207921)</f>
        <v>0</v>
      </c>
      <c r="J19" s="201">
        <f t="shared" si="0"/>
        <v>0</v>
      </c>
      <c r="K19" s="201">
        <v>0</v>
      </c>
      <c r="L19" s="201">
        <f t="shared" si="1"/>
        <v>0</v>
      </c>
    </row>
    <row r="20" spans="1:12" ht="12.75">
      <c r="A20" s="4" t="s">
        <v>11</v>
      </c>
      <c r="B20" s="4" t="s">
        <v>63</v>
      </c>
      <c r="C20" s="4" t="s">
        <v>284</v>
      </c>
      <c r="D20" s="154" t="s">
        <v>271</v>
      </c>
      <c r="E20" s="4" t="s">
        <v>186</v>
      </c>
      <c r="F20" s="197">
        <v>1</v>
      </c>
      <c r="G20" s="201"/>
      <c r="H20" s="201">
        <f>F20*G20*0</f>
        <v>0</v>
      </c>
      <c r="I20" s="201">
        <f>F20*G20*(1-0)</f>
        <v>0</v>
      </c>
      <c r="J20" s="201">
        <f t="shared" si="0"/>
        <v>0</v>
      </c>
      <c r="K20" s="201">
        <v>0</v>
      </c>
      <c r="L20" s="201">
        <f t="shared" si="1"/>
        <v>0</v>
      </c>
    </row>
    <row r="21" spans="1:12" ht="12.75">
      <c r="A21" s="4" t="s">
        <v>12</v>
      </c>
      <c r="B21" s="4" t="s">
        <v>63</v>
      </c>
      <c r="C21" s="4" t="s">
        <v>279</v>
      </c>
      <c r="D21" s="154" t="s">
        <v>272</v>
      </c>
      <c r="E21" s="4" t="s">
        <v>186</v>
      </c>
      <c r="F21" s="197">
        <v>4</v>
      </c>
      <c r="G21" s="201"/>
      <c r="H21" s="201">
        <f>F21*G21*0</f>
        <v>0</v>
      </c>
      <c r="I21" s="201">
        <f>F21*G21*(1-0)</f>
        <v>0</v>
      </c>
      <c r="J21" s="201">
        <f t="shared" si="0"/>
        <v>0</v>
      </c>
      <c r="K21" s="201">
        <v>0</v>
      </c>
      <c r="L21" s="201">
        <f t="shared" si="1"/>
        <v>0</v>
      </c>
    </row>
    <row r="22" spans="1:12" ht="12.75">
      <c r="A22" s="4" t="s">
        <v>13</v>
      </c>
      <c r="B22" s="4" t="s">
        <v>63</v>
      </c>
      <c r="C22" s="4" t="s">
        <v>280</v>
      </c>
      <c r="D22" s="154" t="s">
        <v>273</v>
      </c>
      <c r="E22" s="4" t="s">
        <v>186</v>
      </c>
      <c r="F22" s="197">
        <v>2</v>
      </c>
      <c r="G22" s="201"/>
      <c r="H22" s="201">
        <f>F22*G22*0</f>
        <v>0</v>
      </c>
      <c r="I22" s="201">
        <f>F22*G22*(1-0)</f>
        <v>0</v>
      </c>
      <c r="J22" s="201">
        <f t="shared" si="0"/>
        <v>0</v>
      </c>
      <c r="K22" s="201">
        <v>0</v>
      </c>
      <c r="L22" s="201">
        <f t="shared" si="1"/>
        <v>0</v>
      </c>
    </row>
    <row r="23" spans="1:12" ht="12.75">
      <c r="A23" s="4" t="s">
        <v>14</v>
      </c>
      <c r="B23" s="4" t="s">
        <v>63</v>
      </c>
      <c r="C23" s="4" t="s">
        <v>281</v>
      </c>
      <c r="D23" s="154" t="s">
        <v>274</v>
      </c>
      <c r="E23" s="4" t="s">
        <v>186</v>
      </c>
      <c r="F23" s="197">
        <v>1</v>
      </c>
      <c r="G23" s="201"/>
      <c r="H23" s="201">
        <f>F23*G23*0</f>
        <v>0</v>
      </c>
      <c r="I23" s="201">
        <f>F23*G23*(1-0)</f>
        <v>0</v>
      </c>
      <c r="J23" s="201">
        <f>H23+I23</f>
        <v>0</v>
      </c>
      <c r="K23" s="201">
        <v>0</v>
      </c>
      <c r="L23" s="201">
        <f t="shared" si="1"/>
        <v>0</v>
      </c>
    </row>
    <row r="24" spans="1:12" ht="12.75">
      <c r="A24" s="4" t="s">
        <v>15</v>
      </c>
      <c r="B24" s="4" t="s">
        <v>63</v>
      </c>
      <c r="C24" s="4" t="s">
        <v>282</v>
      </c>
      <c r="D24" s="154" t="s">
        <v>275</v>
      </c>
      <c r="E24" s="4" t="s">
        <v>186</v>
      </c>
      <c r="F24" s="197">
        <v>1</v>
      </c>
      <c r="G24" s="201"/>
      <c r="H24" s="201">
        <f>+F24*G24*0.6</f>
        <v>0</v>
      </c>
      <c r="I24" s="201">
        <f>F24*G24*(1-0.6)</f>
        <v>0</v>
      </c>
      <c r="J24" s="201">
        <f t="shared" si="0"/>
        <v>0</v>
      </c>
      <c r="K24" s="201">
        <v>0</v>
      </c>
      <c r="L24" s="201">
        <f t="shared" si="1"/>
        <v>0</v>
      </c>
    </row>
    <row r="25" spans="1:12" ht="12.75">
      <c r="A25" s="4" t="s">
        <v>16</v>
      </c>
      <c r="B25" s="4" t="s">
        <v>63</v>
      </c>
      <c r="C25" s="4" t="s">
        <v>283</v>
      </c>
      <c r="D25" s="154" t="s">
        <v>276</v>
      </c>
      <c r="E25" s="4" t="s">
        <v>186</v>
      </c>
      <c r="F25" s="197">
        <v>2</v>
      </c>
      <c r="G25" s="201"/>
      <c r="H25" s="201">
        <f>F25*G25*0</f>
        <v>0</v>
      </c>
      <c r="I25" s="201">
        <f>F25*G25*(1-0)</f>
        <v>0</v>
      </c>
      <c r="J25" s="201">
        <f t="shared" si="0"/>
        <v>0</v>
      </c>
      <c r="K25" s="201">
        <v>0</v>
      </c>
      <c r="L25" s="201">
        <f t="shared" si="1"/>
        <v>0</v>
      </c>
    </row>
    <row r="26" spans="1:12" ht="12.75">
      <c r="A26" s="4"/>
      <c r="B26" s="4"/>
      <c r="C26" s="4"/>
      <c r="D26" s="154"/>
      <c r="E26" s="4"/>
      <c r="F26" s="9"/>
      <c r="G26" s="200"/>
      <c r="H26" s="200"/>
      <c r="I26" s="200"/>
      <c r="J26" s="200"/>
      <c r="K26" s="200"/>
      <c r="L26" s="200"/>
    </row>
    <row r="27" spans="1:12" ht="12.75">
      <c r="A27" s="4"/>
      <c r="B27" s="4"/>
      <c r="C27" s="4"/>
      <c r="D27" s="154"/>
      <c r="E27" s="4"/>
      <c r="F27" s="9"/>
      <c r="G27" s="9"/>
      <c r="H27" s="9"/>
      <c r="I27" s="9"/>
      <c r="J27" s="9"/>
      <c r="K27" s="9"/>
      <c r="L27" s="9"/>
    </row>
    <row r="28" spans="1:12" ht="12.75">
      <c r="A28" s="4"/>
      <c r="B28" s="4"/>
      <c r="C28" s="4"/>
      <c r="D28" s="154"/>
      <c r="E28" s="4"/>
      <c r="F28" s="9"/>
      <c r="G28" s="9"/>
      <c r="H28" s="9"/>
      <c r="I28" s="9"/>
      <c r="J28" s="9"/>
      <c r="K28" s="9"/>
      <c r="L28" s="9"/>
    </row>
    <row r="29" spans="1:12" ht="12.75">
      <c r="A29" s="4"/>
      <c r="B29" s="4"/>
      <c r="C29" s="188" t="s">
        <v>78</v>
      </c>
      <c r="D29" s="231" t="s">
        <v>134</v>
      </c>
      <c r="E29" s="232"/>
      <c r="F29" s="232"/>
      <c r="G29" s="233"/>
      <c r="H29" s="198">
        <f>SUM(H30:H56)</f>
        <v>0</v>
      </c>
      <c r="I29" s="198">
        <f>SUM(I30:I56)</f>
        <v>0</v>
      </c>
      <c r="J29" s="198">
        <f t="shared" si="0"/>
        <v>0</v>
      </c>
      <c r="K29" s="199"/>
      <c r="L29" s="198">
        <f>SUM(L30:L56)</f>
        <v>0</v>
      </c>
    </row>
    <row r="30" spans="1:12" ht="12.75">
      <c r="A30" s="4" t="s">
        <v>17</v>
      </c>
      <c r="B30" s="4" t="s">
        <v>63</v>
      </c>
      <c r="C30" s="4" t="s">
        <v>79</v>
      </c>
      <c r="D30" s="154" t="s">
        <v>135</v>
      </c>
      <c r="E30" s="4" t="s">
        <v>185</v>
      </c>
      <c r="F30" s="197">
        <v>35</v>
      </c>
      <c r="G30" s="201"/>
      <c r="H30" s="201">
        <f>F30*G30*0.399313009875483</f>
        <v>0</v>
      </c>
      <c r="I30" s="201">
        <f>F30*G30*(1-0.399313009875483)</f>
        <v>0</v>
      </c>
      <c r="J30" s="201">
        <f t="shared" si="0"/>
        <v>0</v>
      </c>
      <c r="K30" s="201"/>
      <c r="L30" s="201"/>
    </row>
    <row r="31" spans="1:12" ht="12.75">
      <c r="A31" s="4" t="s">
        <v>18</v>
      </c>
      <c r="B31" s="4" t="s">
        <v>63</v>
      </c>
      <c r="C31" s="4" t="s">
        <v>80</v>
      </c>
      <c r="D31" s="154" t="s">
        <v>136</v>
      </c>
      <c r="E31" s="4" t="s">
        <v>185</v>
      </c>
      <c r="F31" s="197">
        <v>112</v>
      </c>
      <c r="G31" s="201"/>
      <c r="H31" s="201">
        <f>F31*G31*0.373022481265612</f>
        <v>0</v>
      </c>
      <c r="I31" s="201">
        <f>F31*G31*(1-0.373022481265612)</f>
        <v>0</v>
      </c>
      <c r="J31" s="201">
        <f t="shared" si="0"/>
        <v>0</v>
      </c>
      <c r="K31" s="201"/>
      <c r="L31" s="201"/>
    </row>
    <row r="32" spans="1:12" ht="12.75">
      <c r="A32" s="4" t="s">
        <v>19</v>
      </c>
      <c r="B32" s="4" t="s">
        <v>63</v>
      </c>
      <c r="C32" s="4" t="s">
        <v>81</v>
      </c>
      <c r="D32" s="154" t="s">
        <v>137</v>
      </c>
      <c r="E32" s="4" t="s">
        <v>185</v>
      </c>
      <c r="F32" s="197">
        <v>45</v>
      </c>
      <c r="G32" s="201"/>
      <c r="H32" s="201">
        <f>F32*G32*0.321708917771201</f>
        <v>0</v>
      </c>
      <c r="I32" s="201">
        <f>F32*G32*(1-0.321708917771201)</f>
        <v>0</v>
      </c>
      <c r="J32" s="201">
        <f t="shared" si="0"/>
        <v>0</v>
      </c>
      <c r="K32" s="201"/>
      <c r="L32" s="201"/>
    </row>
    <row r="33" spans="1:12" ht="12.75">
      <c r="A33" s="4" t="s">
        <v>20</v>
      </c>
      <c r="B33" s="4" t="s">
        <v>63</v>
      </c>
      <c r="C33" s="4" t="s">
        <v>82</v>
      </c>
      <c r="D33" s="154" t="s">
        <v>138</v>
      </c>
      <c r="E33" s="4" t="s">
        <v>186</v>
      </c>
      <c r="F33" s="197">
        <v>5</v>
      </c>
      <c r="G33" s="201"/>
      <c r="H33" s="201">
        <f>F33*G33*0.309645343056016</f>
        <v>0</v>
      </c>
      <c r="I33" s="201">
        <f>F33*G33*(1-0.309645343056016)</f>
        <v>0</v>
      </c>
      <c r="J33" s="201">
        <f t="shared" si="0"/>
        <v>0</v>
      </c>
      <c r="K33" s="201"/>
      <c r="L33" s="201"/>
    </row>
    <row r="34" spans="1:12" ht="12.75">
      <c r="A34" s="4" t="s">
        <v>21</v>
      </c>
      <c r="B34" s="4" t="s">
        <v>63</v>
      </c>
      <c r="C34" s="4" t="s">
        <v>83</v>
      </c>
      <c r="D34" s="154" t="s">
        <v>139</v>
      </c>
      <c r="E34" s="4" t="s">
        <v>186</v>
      </c>
      <c r="F34" s="197">
        <v>12</v>
      </c>
      <c r="G34" s="201"/>
      <c r="H34" s="201">
        <f>F34*G34*0.270531033958824</f>
        <v>0</v>
      </c>
      <c r="I34" s="201">
        <f>F34*G34*(1-0.270531033958824)</f>
        <v>0</v>
      </c>
      <c r="J34" s="201">
        <f t="shared" si="0"/>
        <v>0</v>
      </c>
      <c r="K34" s="201"/>
      <c r="L34" s="201"/>
    </row>
    <row r="35" spans="1:12" ht="12.75">
      <c r="A35" s="4" t="s">
        <v>22</v>
      </c>
      <c r="B35" s="4" t="s">
        <v>63</v>
      </c>
      <c r="C35" s="4" t="s">
        <v>84</v>
      </c>
      <c r="D35" s="154" t="s">
        <v>140</v>
      </c>
      <c r="E35" s="4" t="s">
        <v>186</v>
      </c>
      <c r="F35" s="197">
        <v>6</v>
      </c>
      <c r="G35" s="201"/>
      <c r="H35" s="201">
        <f>F35*G35*0.196028004000571</f>
        <v>0</v>
      </c>
      <c r="I35" s="201">
        <f>F35*G35*(1-0.196028004000571)</f>
        <v>0</v>
      </c>
      <c r="J35" s="201">
        <f t="shared" si="0"/>
        <v>0</v>
      </c>
      <c r="K35" s="201">
        <v>0</v>
      </c>
      <c r="L35" s="201">
        <f aca="true" t="shared" si="2" ref="L35:L56">F35*K35</f>
        <v>0</v>
      </c>
    </row>
    <row r="36" spans="1:12" ht="26.25">
      <c r="A36" s="4" t="s">
        <v>23</v>
      </c>
      <c r="B36" s="4" t="s">
        <v>63</v>
      </c>
      <c r="C36" s="4" t="s">
        <v>85</v>
      </c>
      <c r="D36" s="154" t="s">
        <v>141</v>
      </c>
      <c r="E36" s="4" t="s">
        <v>187</v>
      </c>
      <c r="F36" s="197">
        <v>32</v>
      </c>
      <c r="G36" s="201"/>
      <c r="H36" s="201">
        <f>F36*G36*0.564687076484693</f>
        <v>0</v>
      </c>
      <c r="I36" s="201">
        <f>F36*G36*(1-0.564687076484693)</f>
        <v>0</v>
      </c>
      <c r="J36" s="201">
        <f t="shared" si="0"/>
        <v>0</v>
      </c>
      <c r="K36" s="201">
        <v>0</v>
      </c>
      <c r="L36" s="201">
        <f t="shared" si="2"/>
        <v>0</v>
      </c>
    </row>
    <row r="37" spans="1:12" ht="26.25">
      <c r="A37" s="4" t="s">
        <v>24</v>
      </c>
      <c r="B37" s="4" t="s">
        <v>63</v>
      </c>
      <c r="C37" s="4" t="s">
        <v>86</v>
      </c>
      <c r="D37" s="154" t="s">
        <v>142</v>
      </c>
      <c r="E37" s="4" t="s">
        <v>186</v>
      </c>
      <c r="F37" s="197">
        <v>22</v>
      </c>
      <c r="G37" s="201"/>
      <c r="H37" s="201">
        <f>F37*G37*0.242954324586978</f>
        <v>0</v>
      </c>
      <c r="I37" s="201">
        <f>F37*G37*(1-0.242954324586978)</f>
        <v>0</v>
      </c>
      <c r="J37" s="201">
        <f t="shared" si="0"/>
        <v>0</v>
      </c>
      <c r="K37" s="201">
        <v>0</v>
      </c>
      <c r="L37" s="201">
        <f t="shared" si="2"/>
        <v>0</v>
      </c>
    </row>
    <row r="38" spans="1:12" ht="26.25">
      <c r="A38" s="4" t="s">
        <v>25</v>
      </c>
      <c r="B38" s="4" t="s">
        <v>63</v>
      </c>
      <c r="C38" s="4" t="s">
        <v>87</v>
      </c>
      <c r="D38" s="154" t="s">
        <v>143</v>
      </c>
      <c r="E38" s="4" t="s">
        <v>186</v>
      </c>
      <c r="F38" s="197">
        <v>28</v>
      </c>
      <c r="G38" s="201"/>
      <c r="H38" s="201">
        <f>F38*G38*0.213675213675214</f>
        <v>0</v>
      </c>
      <c r="I38" s="201">
        <f>F38*G38*(1-0.213675213675214)</f>
        <v>0</v>
      </c>
      <c r="J38" s="201">
        <f t="shared" si="0"/>
        <v>0</v>
      </c>
      <c r="K38" s="201">
        <v>0</v>
      </c>
      <c r="L38" s="201">
        <f t="shared" si="2"/>
        <v>0</v>
      </c>
    </row>
    <row r="39" spans="1:12" ht="26.25">
      <c r="A39" s="4" t="s">
        <v>26</v>
      </c>
      <c r="B39" s="4" t="s">
        <v>63</v>
      </c>
      <c r="C39" s="4" t="s">
        <v>88</v>
      </c>
      <c r="D39" s="154" t="s">
        <v>144</v>
      </c>
      <c r="E39" s="4" t="s">
        <v>186</v>
      </c>
      <c r="F39" s="197">
        <v>2</v>
      </c>
      <c r="G39" s="201"/>
      <c r="H39" s="201">
        <f>F39*G39*0</f>
        <v>0</v>
      </c>
      <c r="I39" s="201">
        <f>F39*G39*(1-0)</f>
        <v>0</v>
      </c>
      <c r="J39" s="201">
        <f t="shared" si="0"/>
        <v>0</v>
      </c>
      <c r="K39" s="201">
        <v>0</v>
      </c>
      <c r="L39" s="201">
        <f t="shared" si="2"/>
        <v>0</v>
      </c>
    </row>
    <row r="40" spans="1:12" ht="12.75">
      <c r="A40" s="4" t="s">
        <v>27</v>
      </c>
      <c r="B40" s="4" t="s">
        <v>63</v>
      </c>
      <c r="C40" s="4" t="s">
        <v>89</v>
      </c>
      <c r="D40" s="154" t="s">
        <v>145</v>
      </c>
      <c r="E40" s="4" t="s">
        <v>187</v>
      </c>
      <c r="F40" s="197">
        <v>32</v>
      </c>
      <c r="G40" s="201"/>
      <c r="H40" s="201">
        <f>F40*G40*1</f>
        <v>0</v>
      </c>
      <c r="I40" s="201">
        <f>F40*G40*(1-1)</f>
        <v>0</v>
      </c>
      <c r="J40" s="201">
        <f t="shared" si="0"/>
        <v>0</v>
      </c>
      <c r="K40" s="201">
        <v>0</v>
      </c>
      <c r="L40" s="201">
        <f t="shared" si="2"/>
        <v>0</v>
      </c>
    </row>
    <row r="41" spans="1:12" ht="12.75">
      <c r="A41" s="4" t="s">
        <v>28</v>
      </c>
      <c r="B41" s="4" t="s">
        <v>63</v>
      </c>
      <c r="C41" s="4" t="s">
        <v>90</v>
      </c>
      <c r="D41" s="154" t="s">
        <v>146</v>
      </c>
      <c r="E41" s="4" t="s">
        <v>186</v>
      </c>
      <c r="F41" s="197">
        <v>1</v>
      </c>
      <c r="G41" s="201"/>
      <c r="H41" s="201">
        <f>F41*G41*0.935935802096982</f>
        <v>0</v>
      </c>
      <c r="I41" s="201">
        <f>F41*G41*(1-0.935935802096982)</f>
        <v>0</v>
      </c>
      <c r="J41" s="201">
        <f t="shared" si="0"/>
        <v>0</v>
      </c>
      <c r="K41" s="201">
        <v>0</v>
      </c>
      <c r="L41" s="201">
        <f t="shared" si="2"/>
        <v>0</v>
      </c>
    </row>
    <row r="42" spans="1:12" ht="26.25">
      <c r="A42" s="4" t="s">
        <v>29</v>
      </c>
      <c r="B42" s="4" t="s">
        <v>63</v>
      </c>
      <c r="C42" s="4" t="s">
        <v>91</v>
      </c>
      <c r="D42" s="154" t="s">
        <v>147</v>
      </c>
      <c r="E42" s="4" t="s">
        <v>186</v>
      </c>
      <c r="F42" s="197">
        <v>1</v>
      </c>
      <c r="G42" s="201"/>
      <c r="H42" s="201">
        <f>F42*G42*0</f>
        <v>0</v>
      </c>
      <c r="I42" s="201">
        <f>F42*G42*(1-0)</f>
        <v>0</v>
      </c>
      <c r="J42" s="201">
        <f t="shared" si="0"/>
        <v>0</v>
      </c>
      <c r="K42" s="201">
        <v>0</v>
      </c>
      <c r="L42" s="201">
        <f t="shared" si="2"/>
        <v>0</v>
      </c>
    </row>
    <row r="43" spans="1:12" ht="26.25">
      <c r="A43" s="4" t="s">
        <v>30</v>
      </c>
      <c r="B43" s="4" t="s">
        <v>63</v>
      </c>
      <c r="C43" s="4" t="s">
        <v>92</v>
      </c>
      <c r="D43" s="154" t="s">
        <v>148</v>
      </c>
      <c r="E43" s="4" t="s">
        <v>186</v>
      </c>
      <c r="F43" s="197">
        <v>6</v>
      </c>
      <c r="G43" s="201"/>
      <c r="H43" s="201">
        <f>F43*G43*0.816640328022893</f>
        <v>0</v>
      </c>
      <c r="I43" s="201">
        <f>F43*G43*(1-0.816640328022893)</f>
        <v>0</v>
      </c>
      <c r="J43" s="201">
        <f t="shared" si="0"/>
        <v>0</v>
      </c>
      <c r="K43" s="201">
        <v>0</v>
      </c>
      <c r="L43" s="201">
        <f t="shared" si="2"/>
        <v>0</v>
      </c>
    </row>
    <row r="44" spans="1:12" ht="12.75">
      <c r="A44" s="4" t="s">
        <v>31</v>
      </c>
      <c r="B44" s="4" t="s">
        <v>63</v>
      </c>
      <c r="C44" s="4" t="s">
        <v>93</v>
      </c>
      <c r="D44" s="154" t="s">
        <v>149</v>
      </c>
      <c r="E44" s="4" t="s">
        <v>185</v>
      </c>
      <c r="F44" s="197">
        <v>85</v>
      </c>
      <c r="G44" s="201"/>
      <c r="H44" s="201">
        <f>F44*G44*0.571810883140054</f>
        <v>0</v>
      </c>
      <c r="I44" s="201">
        <f>F44*G44*(1-0.571810883140054)</f>
        <v>0</v>
      </c>
      <c r="J44" s="201">
        <f t="shared" si="0"/>
        <v>0</v>
      </c>
      <c r="K44" s="201"/>
      <c r="L44" s="201"/>
    </row>
    <row r="45" spans="1:12" ht="12.75">
      <c r="A45" s="4" t="s">
        <v>32</v>
      </c>
      <c r="B45" s="4" t="s">
        <v>63</v>
      </c>
      <c r="C45" s="4" t="s">
        <v>94</v>
      </c>
      <c r="D45" s="154" t="s">
        <v>150</v>
      </c>
      <c r="E45" s="4" t="s">
        <v>185</v>
      </c>
      <c r="F45" s="197">
        <v>57</v>
      </c>
      <c r="G45" s="201"/>
      <c r="H45" s="201">
        <f>F45*G45*0.704127644814429</f>
        <v>0</v>
      </c>
      <c r="I45" s="201">
        <f>F45*G45*(1-0.704127644814429)</f>
        <v>0</v>
      </c>
      <c r="J45" s="201">
        <f t="shared" si="0"/>
        <v>0</v>
      </c>
      <c r="K45" s="201"/>
      <c r="L45" s="201"/>
    </row>
    <row r="46" spans="1:12" ht="12.75">
      <c r="A46" s="4" t="s">
        <v>33</v>
      </c>
      <c r="B46" s="4" t="s">
        <v>63</v>
      </c>
      <c r="C46" s="4" t="s">
        <v>95</v>
      </c>
      <c r="D46" s="154" t="s">
        <v>151</v>
      </c>
      <c r="E46" s="4" t="s">
        <v>185</v>
      </c>
      <c r="F46" s="197">
        <v>84</v>
      </c>
      <c r="G46" s="201"/>
      <c r="H46" s="201">
        <f>F46*G46*0.864036517769808</f>
        <v>0</v>
      </c>
      <c r="I46" s="201">
        <f>F46*G46*(1-0.864036517769808)</f>
        <v>0</v>
      </c>
      <c r="J46" s="201">
        <f t="shared" si="0"/>
        <v>0</v>
      </c>
      <c r="K46" s="201"/>
      <c r="L46" s="201"/>
    </row>
    <row r="47" spans="1:12" ht="12.75">
      <c r="A47" s="4" t="s">
        <v>34</v>
      </c>
      <c r="B47" s="4" t="s">
        <v>63</v>
      </c>
      <c r="C47" s="4" t="s">
        <v>96</v>
      </c>
      <c r="D47" s="154" t="s">
        <v>152</v>
      </c>
      <c r="E47" s="4" t="s">
        <v>185</v>
      </c>
      <c r="F47" s="197">
        <v>18</v>
      </c>
      <c r="G47" s="201"/>
      <c r="H47" s="201">
        <f>F47*G47*0.682926829268293</f>
        <v>0</v>
      </c>
      <c r="I47" s="201">
        <f>F47*G47*(1-0.682926829268293)</f>
        <v>0</v>
      </c>
      <c r="J47" s="201">
        <f t="shared" si="0"/>
        <v>0</v>
      </c>
      <c r="K47" s="201">
        <v>0</v>
      </c>
      <c r="L47" s="201">
        <f t="shared" si="2"/>
        <v>0</v>
      </c>
    </row>
    <row r="48" spans="1:12" ht="12.75">
      <c r="A48" s="4" t="s">
        <v>35</v>
      </c>
      <c r="B48" s="4" t="s">
        <v>63</v>
      </c>
      <c r="C48" s="4" t="s">
        <v>96</v>
      </c>
      <c r="D48" s="154" t="s">
        <v>152</v>
      </c>
      <c r="E48" s="4" t="s">
        <v>185</v>
      </c>
      <c r="F48" s="197">
        <f>18+40+20</f>
        <v>78</v>
      </c>
      <c r="G48" s="201"/>
      <c r="H48" s="201">
        <f>F48*G48*0.682926829268293</f>
        <v>0</v>
      </c>
      <c r="I48" s="201">
        <f>F48*G48*(1-0.682926829268293)</f>
        <v>0</v>
      </c>
      <c r="J48" s="201">
        <f t="shared" si="0"/>
        <v>0</v>
      </c>
      <c r="K48" s="201">
        <v>0</v>
      </c>
      <c r="L48" s="201">
        <f t="shared" si="2"/>
        <v>0</v>
      </c>
    </row>
    <row r="49" spans="1:12" ht="26.25">
      <c r="A49" s="4" t="s">
        <v>36</v>
      </c>
      <c r="B49" s="4" t="s">
        <v>63</v>
      </c>
      <c r="C49" s="4" t="s">
        <v>97</v>
      </c>
      <c r="D49" s="154" t="s">
        <v>153</v>
      </c>
      <c r="E49" s="4" t="s">
        <v>185</v>
      </c>
      <c r="F49" s="197">
        <v>65</v>
      </c>
      <c r="G49" s="201"/>
      <c r="H49" s="201">
        <f>F49*G49*0.478615071283096</f>
        <v>0</v>
      </c>
      <c r="I49" s="201">
        <f>F49*G49*(1-0.478615071283096)</f>
        <v>0</v>
      </c>
      <c r="J49" s="201">
        <f t="shared" si="0"/>
        <v>0</v>
      </c>
      <c r="K49" s="201">
        <v>0</v>
      </c>
      <c r="L49" s="201">
        <f t="shared" si="2"/>
        <v>0</v>
      </c>
    </row>
    <row r="50" spans="1:12" ht="26.25">
      <c r="A50" s="4" t="s">
        <v>37</v>
      </c>
      <c r="B50" s="4" t="s">
        <v>63</v>
      </c>
      <c r="C50" s="4" t="s">
        <v>98</v>
      </c>
      <c r="D50" s="154" t="s">
        <v>154</v>
      </c>
      <c r="E50" s="4" t="s">
        <v>185</v>
      </c>
      <c r="F50" s="197">
        <v>126</v>
      </c>
      <c r="G50" s="201"/>
      <c r="H50" s="201">
        <f>F50*G50*0.456273764258555</f>
        <v>0</v>
      </c>
      <c r="I50" s="201">
        <f>F50*G50*(1-0.456273764258555)</f>
        <v>0</v>
      </c>
      <c r="J50" s="201">
        <f t="shared" si="0"/>
        <v>0</v>
      </c>
      <c r="K50" s="201">
        <v>0</v>
      </c>
      <c r="L50" s="201">
        <f t="shared" si="2"/>
        <v>0</v>
      </c>
    </row>
    <row r="51" spans="1:12" ht="26.25">
      <c r="A51" s="4" t="s">
        <v>38</v>
      </c>
      <c r="B51" s="4" t="s">
        <v>63</v>
      </c>
      <c r="C51" s="4" t="s">
        <v>99</v>
      </c>
      <c r="D51" s="154" t="s">
        <v>155</v>
      </c>
      <c r="E51" s="4" t="s">
        <v>185</v>
      </c>
      <c r="F51" s="197">
        <f>18+85</f>
        <v>103</v>
      </c>
      <c r="G51" s="201"/>
      <c r="H51" s="201">
        <f>F51*G51*0.462160600808781</f>
        <v>0</v>
      </c>
      <c r="I51" s="201">
        <f>F51*G51*(1-0.462160600808781)</f>
        <v>0</v>
      </c>
      <c r="J51" s="201">
        <f aca="true" t="shared" si="3" ref="J51:J87">H51+I51</f>
        <v>0</v>
      </c>
      <c r="K51" s="201">
        <v>0</v>
      </c>
      <c r="L51" s="201">
        <f t="shared" si="2"/>
        <v>0</v>
      </c>
    </row>
    <row r="52" spans="1:12" ht="12.75">
      <c r="A52" s="4" t="s">
        <v>39</v>
      </c>
      <c r="B52" s="4" t="s">
        <v>63</v>
      </c>
      <c r="C52" s="4" t="s">
        <v>100</v>
      </c>
      <c r="D52" s="154" t="s">
        <v>156</v>
      </c>
      <c r="E52" s="4" t="s">
        <v>187</v>
      </c>
      <c r="F52" s="197">
        <v>8</v>
      </c>
      <c r="G52" s="201"/>
      <c r="H52" s="201">
        <f>F52*G52*0</f>
        <v>0</v>
      </c>
      <c r="I52" s="201">
        <f>F52*G52*(1-0)</f>
        <v>0</v>
      </c>
      <c r="J52" s="201">
        <f t="shared" si="3"/>
        <v>0</v>
      </c>
      <c r="K52" s="201">
        <v>0</v>
      </c>
      <c r="L52" s="201">
        <f t="shared" si="2"/>
        <v>0</v>
      </c>
    </row>
    <row r="53" spans="1:12" ht="12.75">
      <c r="A53" s="4" t="s">
        <v>40</v>
      </c>
      <c r="B53" s="4" t="s">
        <v>63</v>
      </c>
      <c r="C53" s="4" t="s">
        <v>101</v>
      </c>
      <c r="D53" s="154" t="s">
        <v>157</v>
      </c>
      <c r="E53" s="4" t="s">
        <v>185</v>
      </c>
      <c r="F53" s="197">
        <v>35</v>
      </c>
      <c r="G53" s="201"/>
      <c r="H53" s="201">
        <f>F53*G53*0.710900473933649</f>
        <v>0</v>
      </c>
      <c r="I53" s="201">
        <f>F53*G53*(1-0.710900473933649)</f>
        <v>0</v>
      </c>
      <c r="J53" s="201">
        <f t="shared" si="3"/>
        <v>0</v>
      </c>
      <c r="K53" s="201">
        <v>0</v>
      </c>
      <c r="L53" s="201">
        <f t="shared" si="2"/>
        <v>0</v>
      </c>
    </row>
    <row r="54" spans="1:12" ht="26.25">
      <c r="A54" s="4" t="s">
        <v>41</v>
      </c>
      <c r="B54" s="4" t="s">
        <v>63</v>
      </c>
      <c r="C54" s="4" t="s">
        <v>102</v>
      </c>
      <c r="D54" s="154" t="s">
        <v>158</v>
      </c>
      <c r="E54" s="4" t="s">
        <v>185</v>
      </c>
      <c r="F54" s="197">
        <v>55</v>
      </c>
      <c r="G54" s="201"/>
      <c r="H54" s="201">
        <f>F54*G54*0.538543390872547</f>
        <v>0</v>
      </c>
      <c r="I54" s="201">
        <f>F54*G54*(1-0.538543390872547)</f>
        <v>0</v>
      </c>
      <c r="J54" s="201">
        <f t="shared" si="3"/>
        <v>0</v>
      </c>
      <c r="K54" s="201">
        <v>0</v>
      </c>
      <c r="L54" s="201">
        <f t="shared" si="2"/>
        <v>0</v>
      </c>
    </row>
    <row r="55" spans="1:12" ht="12.75">
      <c r="A55" s="4" t="s">
        <v>42</v>
      </c>
      <c r="B55" s="4" t="s">
        <v>63</v>
      </c>
      <c r="C55" s="4" t="s">
        <v>103</v>
      </c>
      <c r="D55" s="154" t="s">
        <v>159</v>
      </c>
      <c r="E55" s="4" t="s">
        <v>186</v>
      </c>
      <c r="F55" s="197">
        <v>16</v>
      </c>
      <c r="G55" s="201"/>
      <c r="H55" s="201">
        <f>F55*G55*0.110347085789129</f>
        <v>0</v>
      </c>
      <c r="I55" s="201">
        <f>F55*G55*(1-0.110347085789129)</f>
        <v>0</v>
      </c>
      <c r="J55" s="201">
        <f t="shared" si="3"/>
        <v>0</v>
      </c>
      <c r="K55" s="201">
        <v>0</v>
      </c>
      <c r="L55" s="201">
        <f t="shared" si="2"/>
        <v>0</v>
      </c>
    </row>
    <row r="56" spans="1:12" ht="26.25">
      <c r="A56" s="4" t="s">
        <v>43</v>
      </c>
      <c r="B56" s="4" t="s">
        <v>63</v>
      </c>
      <c r="C56" s="4" t="s">
        <v>104</v>
      </c>
      <c r="D56" s="154" t="s">
        <v>160</v>
      </c>
      <c r="E56" s="4" t="s">
        <v>186</v>
      </c>
      <c r="F56" s="197">
        <v>2</v>
      </c>
      <c r="G56" s="201"/>
      <c r="H56" s="201">
        <f>F56*G56*0</f>
        <v>0</v>
      </c>
      <c r="I56" s="201">
        <f>F56*G56*(1-0)</f>
        <v>0</v>
      </c>
      <c r="J56" s="201">
        <f t="shared" si="3"/>
        <v>0</v>
      </c>
      <c r="K56" s="201">
        <v>0</v>
      </c>
      <c r="L56" s="201">
        <f t="shared" si="2"/>
        <v>0</v>
      </c>
    </row>
    <row r="57" spans="1:12" ht="12.75">
      <c r="A57" s="4"/>
      <c r="B57" s="4"/>
      <c r="C57" s="4"/>
      <c r="D57" s="154"/>
      <c r="E57" s="4"/>
      <c r="F57" s="9"/>
      <c r="G57" s="200"/>
      <c r="H57" s="200"/>
      <c r="I57" s="200"/>
      <c r="J57" s="200"/>
      <c r="K57" s="200"/>
      <c r="L57" s="200"/>
    </row>
    <row r="58" spans="1:12" ht="12.75">
      <c r="A58" s="4"/>
      <c r="B58" s="4"/>
      <c r="C58" s="4"/>
      <c r="D58" s="154"/>
      <c r="E58" s="4"/>
      <c r="F58" s="9"/>
      <c r="G58" s="9"/>
      <c r="H58" s="9"/>
      <c r="I58" s="9"/>
      <c r="J58" s="9"/>
      <c r="K58" s="9"/>
      <c r="L58" s="9"/>
    </row>
    <row r="59" spans="1:12" ht="12.75">
      <c r="A59" s="4"/>
      <c r="B59" s="4"/>
      <c r="C59" s="188" t="s">
        <v>105</v>
      </c>
      <c r="D59" s="231" t="s">
        <v>161</v>
      </c>
      <c r="E59" s="232"/>
      <c r="F59" s="232"/>
      <c r="G59" s="233"/>
      <c r="H59" s="198">
        <f>SUM(H60:H72)</f>
        <v>0</v>
      </c>
      <c r="I59" s="198">
        <f>SUM(I60:I72)</f>
        <v>0</v>
      </c>
      <c r="J59" s="198">
        <f t="shared" si="3"/>
        <v>0</v>
      </c>
      <c r="K59" s="199"/>
      <c r="L59" s="198">
        <f>SUM(L60:L72)</f>
        <v>0</v>
      </c>
    </row>
    <row r="60" spans="1:12" ht="12.75">
      <c r="A60" s="4" t="s">
        <v>44</v>
      </c>
      <c r="B60" s="4" t="s">
        <v>64</v>
      </c>
      <c r="C60" s="4" t="s">
        <v>106</v>
      </c>
      <c r="D60" s="154" t="s">
        <v>162</v>
      </c>
      <c r="E60" s="4" t="s">
        <v>184</v>
      </c>
      <c r="F60" s="197">
        <v>1</v>
      </c>
      <c r="G60" s="201"/>
      <c r="H60" s="201">
        <f>F60*G60*0.901574803149606</f>
        <v>0</v>
      </c>
      <c r="I60" s="201">
        <f>F60*G60*(1-0.901574803149606)</f>
        <v>0</v>
      </c>
      <c r="J60" s="201">
        <f t="shared" si="3"/>
        <v>0</v>
      </c>
      <c r="K60" s="201">
        <v>0</v>
      </c>
      <c r="L60" s="201">
        <f aca="true" t="shared" si="4" ref="L60:L72">F60*K60</f>
        <v>0</v>
      </c>
    </row>
    <row r="61" spans="1:12" ht="12.75">
      <c r="A61" s="4" t="s">
        <v>45</v>
      </c>
      <c r="B61" s="4" t="s">
        <v>64</v>
      </c>
      <c r="C61" s="4" t="s">
        <v>107</v>
      </c>
      <c r="D61" s="154" t="s">
        <v>163</v>
      </c>
      <c r="E61" s="4" t="s">
        <v>184</v>
      </c>
      <c r="F61" s="197">
        <v>28</v>
      </c>
      <c r="G61" s="201"/>
      <c r="H61" s="201">
        <f>F61*G61*0.652173913043478</f>
        <v>0</v>
      </c>
      <c r="I61" s="201">
        <f>F61*G61*(1-0.652173913043478)</f>
        <v>0</v>
      </c>
      <c r="J61" s="201">
        <f t="shared" si="3"/>
        <v>0</v>
      </c>
      <c r="K61" s="201">
        <v>0</v>
      </c>
      <c r="L61" s="201">
        <f t="shared" si="4"/>
        <v>0</v>
      </c>
    </row>
    <row r="62" spans="1:12" ht="12.75">
      <c r="A62" s="4" t="s">
        <v>46</v>
      </c>
      <c r="B62" s="4" t="s">
        <v>64</v>
      </c>
      <c r="C62" s="4" t="s">
        <v>108</v>
      </c>
      <c r="D62" s="154" t="s">
        <v>164</v>
      </c>
      <c r="E62" s="4" t="s">
        <v>184</v>
      </c>
      <c r="F62" s="197">
        <v>2</v>
      </c>
      <c r="G62" s="201"/>
      <c r="H62" s="201">
        <f>F62*G62*1</f>
        <v>0</v>
      </c>
      <c r="I62" s="201">
        <f>F62*G62*(1-1)</f>
        <v>0</v>
      </c>
      <c r="J62" s="201">
        <f t="shared" si="3"/>
        <v>0</v>
      </c>
      <c r="K62" s="201">
        <v>0</v>
      </c>
      <c r="L62" s="201">
        <f t="shared" si="4"/>
        <v>0</v>
      </c>
    </row>
    <row r="63" spans="1:12" ht="12.75">
      <c r="A63" s="4" t="s">
        <v>47</v>
      </c>
      <c r="B63" s="4" t="s">
        <v>64</v>
      </c>
      <c r="C63" s="4" t="s">
        <v>109</v>
      </c>
      <c r="D63" s="154" t="s">
        <v>165</v>
      </c>
      <c r="E63" s="4" t="s">
        <v>184</v>
      </c>
      <c r="F63" s="197">
        <v>22</v>
      </c>
      <c r="G63" s="201"/>
      <c r="H63" s="201">
        <f>F63*G63*0.641025641025641</f>
        <v>0</v>
      </c>
      <c r="I63" s="201">
        <f>F63*G63*(1-0.641025641025641)</f>
        <v>0</v>
      </c>
      <c r="J63" s="201">
        <f t="shared" si="3"/>
        <v>0</v>
      </c>
      <c r="K63" s="201">
        <v>0</v>
      </c>
      <c r="L63" s="201">
        <f t="shared" si="4"/>
        <v>0</v>
      </c>
    </row>
    <row r="64" spans="1:12" ht="12.75">
      <c r="A64" s="4" t="s">
        <v>48</v>
      </c>
      <c r="B64" s="4" t="s">
        <v>64</v>
      </c>
      <c r="C64" s="4" t="s">
        <v>110</v>
      </c>
      <c r="D64" s="154" t="s">
        <v>166</v>
      </c>
      <c r="E64" s="4" t="s">
        <v>185</v>
      </c>
      <c r="F64" s="197">
        <v>1</v>
      </c>
      <c r="G64" s="201"/>
      <c r="H64" s="201">
        <f>F64*G64*1</f>
        <v>0</v>
      </c>
      <c r="I64" s="201">
        <f>F64*G64*(1-1)</f>
        <v>0</v>
      </c>
      <c r="J64" s="201">
        <f t="shared" si="3"/>
        <v>0</v>
      </c>
      <c r="K64" s="201">
        <v>0</v>
      </c>
      <c r="L64" s="201">
        <f t="shared" si="4"/>
        <v>0</v>
      </c>
    </row>
    <row r="65" spans="1:12" ht="12.75">
      <c r="A65" s="4" t="s">
        <v>49</v>
      </c>
      <c r="B65" s="4" t="s">
        <v>64</v>
      </c>
      <c r="C65" s="4" t="s">
        <v>111</v>
      </c>
      <c r="D65" s="154" t="s">
        <v>167</v>
      </c>
      <c r="E65" s="4" t="s">
        <v>184</v>
      </c>
      <c r="F65" s="197">
        <v>1</v>
      </c>
      <c r="G65" s="201"/>
      <c r="H65" s="201">
        <f>F65*G65*0.940514469453376</f>
        <v>0</v>
      </c>
      <c r="I65" s="201">
        <f>F65*G65*(1-0.940514469453376)</f>
        <v>0</v>
      </c>
      <c r="J65" s="201">
        <f t="shared" si="3"/>
        <v>0</v>
      </c>
      <c r="K65" s="201">
        <v>0</v>
      </c>
      <c r="L65" s="201">
        <f t="shared" si="4"/>
        <v>0</v>
      </c>
    </row>
    <row r="66" spans="1:12" ht="26.25">
      <c r="A66" s="4" t="s">
        <v>50</v>
      </c>
      <c r="B66" s="4" t="s">
        <v>64</v>
      </c>
      <c r="C66" s="4" t="s">
        <v>112</v>
      </c>
      <c r="D66" s="154" t="s">
        <v>168</v>
      </c>
      <c r="E66" s="4" t="s">
        <v>184</v>
      </c>
      <c r="F66" s="197">
        <v>3</v>
      </c>
      <c r="G66" s="201"/>
      <c r="H66" s="201">
        <f>F66*G66*0.843971631205674</f>
        <v>0</v>
      </c>
      <c r="I66" s="201">
        <f>F66*G66*(1-0.843971631205674)</f>
        <v>0</v>
      </c>
      <c r="J66" s="201">
        <f t="shared" si="3"/>
        <v>0</v>
      </c>
      <c r="K66" s="201">
        <v>0</v>
      </c>
      <c r="L66" s="201">
        <f t="shared" si="4"/>
        <v>0</v>
      </c>
    </row>
    <row r="67" spans="1:12" ht="26.25">
      <c r="A67" s="4" t="s">
        <v>51</v>
      </c>
      <c r="B67" s="4" t="s">
        <v>64</v>
      </c>
      <c r="C67" s="4" t="s">
        <v>113</v>
      </c>
      <c r="D67" s="154" t="s">
        <v>169</v>
      </c>
      <c r="E67" s="4" t="s">
        <v>184</v>
      </c>
      <c r="F67" s="197">
        <v>1</v>
      </c>
      <c r="G67" s="201"/>
      <c r="H67" s="201">
        <f>F67*G67*0.828897338403042</f>
        <v>0</v>
      </c>
      <c r="I67" s="201">
        <f>F67*G67*(1-0.828897338403042)</f>
        <v>0</v>
      </c>
      <c r="J67" s="201">
        <f t="shared" si="3"/>
        <v>0</v>
      </c>
      <c r="K67" s="201">
        <v>0</v>
      </c>
      <c r="L67" s="201">
        <f t="shared" si="4"/>
        <v>0</v>
      </c>
    </row>
    <row r="68" spans="1:12" ht="12.75">
      <c r="A68" s="4" t="s">
        <v>52</v>
      </c>
      <c r="B68" s="4" t="s">
        <v>64</v>
      </c>
      <c r="C68" s="4" t="s">
        <v>114</v>
      </c>
      <c r="D68" s="154" t="s">
        <v>170</v>
      </c>
      <c r="E68" s="4" t="s">
        <v>184</v>
      </c>
      <c r="F68" s="197">
        <v>1</v>
      </c>
      <c r="G68" s="201"/>
      <c r="H68" s="201">
        <f>F68*G68*0.635103926096998</f>
        <v>0</v>
      </c>
      <c r="I68" s="201">
        <f>F68*G68*(1-0.635103926096998)</f>
        <v>0</v>
      </c>
      <c r="J68" s="201">
        <f t="shared" si="3"/>
        <v>0</v>
      </c>
      <c r="K68" s="201">
        <v>0</v>
      </c>
      <c r="L68" s="201">
        <f t="shared" si="4"/>
        <v>0</v>
      </c>
    </row>
    <row r="69" spans="1:12" ht="12.75">
      <c r="A69" s="4" t="s">
        <v>53</v>
      </c>
      <c r="B69" s="4" t="s">
        <v>64</v>
      </c>
      <c r="C69" s="4" t="s">
        <v>114</v>
      </c>
      <c r="D69" s="154" t="s">
        <v>171</v>
      </c>
      <c r="E69" s="4" t="s">
        <v>184</v>
      </c>
      <c r="F69" s="197">
        <v>1</v>
      </c>
      <c r="G69" s="201"/>
      <c r="H69" s="201">
        <f>F69*G69*0.635103926096998</f>
        <v>0</v>
      </c>
      <c r="I69" s="201">
        <f>F69*G69*(1-0.635103926096998)</f>
        <v>0</v>
      </c>
      <c r="J69" s="201">
        <f t="shared" si="3"/>
        <v>0</v>
      </c>
      <c r="K69" s="201">
        <v>0</v>
      </c>
      <c r="L69" s="201">
        <f t="shared" si="4"/>
        <v>0</v>
      </c>
    </row>
    <row r="70" spans="1:12" ht="12.75">
      <c r="A70" s="4" t="s">
        <v>54</v>
      </c>
      <c r="B70" s="4" t="s">
        <v>64</v>
      </c>
      <c r="C70" s="4" t="s">
        <v>115</v>
      </c>
      <c r="D70" s="154" t="s">
        <v>172</v>
      </c>
      <c r="E70" s="4" t="s">
        <v>184</v>
      </c>
      <c r="F70" s="197">
        <v>2</v>
      </c>
      <c r="G70" s="201"/>
      <c r="H70" s="201">
        <f>F70*G70*0.82</f>
        <v>0</v>
      </c>
      <c r="I70" s="201">
        <f>F70*G70*(1-0.82)</f>
        <v>0</v>
      </c>
      <c r="J70" s="201">
        <f t="shared" si="3"/>
        <v>0</v>
      </c>
      <c r="K70" s="201">
        <v>0</v>
      </c>
      <c r="L70" s="201">
        <f t="shared" si="4"/>
        <v>0</v>
      </c>
    </row>
    <row r="71" spans="1:12" ht="12.75">
      <c r="A71" s="4" t="s">
        <v>55</v>
      </c>
      <c r="B71" s="4" t="s">
        <v>64</v>
      </c>
      <c r="C71" s="4" t="s">
        <v>116</v>
      </c>
      <c r="D71" s="154" t="s">
        <v>173</v>
      </c>
      <c r="E71" s="4" t="s">
        <v>184</v>
      </c>
      <c r="F71" s="197">
        <v>1</v>
      </c>
      <c r="G71" s="201"/>
      <c r="H71" s="201">
        <f>F71*G71*0.894025294374182</f>
        <v>0</v>
      </c>
      <c r="I71" s="201">
        <f>F71*G71*(1-0.894025294374182)</f>
        <v>0</v>
      </c>
      <c r="J71" s="201">
        <f t="shared" si="3"/>
        <v>0</v>
      </c>
      <c r="K71" s="201">
        <v>0</v>
      </c>
      <c r="L71" s="201">
        <f t="shared" si="4"/>
        <v>0</v>
      </c>
    </row>
    <row r="72" spans="1:12" ht="12.75">
      <c r="A72" s="4" t="s">
        <v>56</v>
      </c>
      <c r="B72" s="4" t="s">
        <v>64</v>
      </c>
      <c r="C72" s="4" t="s">
        <v>117</v>
      </c>
      <c r="D72" s="154" t="s">
        <v>174</v>
      </c>
      <c r="E72" s="4" t="s">
        <v>184</v>
      </c>
      <c r="F72" s="197">
        <v>13</v>
      </c>
      <c r="G72" s="201"/>
      <c r="H72" s="201">
        <f>F72*G72*0.743589743589744</f>
        <v>0</v>
      </c>
      <c r="I72" s="201">
        <f>F72*G72*(1-0.743589743589744)</f>
        <v>0</v>
      </c>
      <c r="J72" s="201">
        <f t="shared" si="3"/>
        <v>0</v>
      </c>
      <c r="K72" s="201">
        <v>0</v>
      </c>
      <c r="L72" s="201">
        <f t="shared" si="4"/>
        <v>0</v>
      </c>
    </row>
    <row r="73" spans="1:12" ht="12.75">
      <c r="A73" s="4"/>
      <c r="B73" s="4"/>
      <c r="C73" s="4"/>
      <c r="D73" s="154"/>
      <c r="E73" s="4"/>
      <c r="F73" s="9"/>
      <c r="G73" s="200"/>
      <c r="H73" s="200"/>
      <c r="I73" s="200"/>
      <c r="J73" s="200"/>
      <c r="K73" s="200"/>
      <c r="L73" s="200"/>
    </row>
    <row r="74" spans="1:12" ht="12.75">
      <c r="A74" s="4"/>
      <c r="B74" s="4"/>
      <c r="C74" s="4"/>
      <c r="D74" s="154"/>
      <c r="E74" s="4"/>
      <c r="F74" s="9"/>
      <c r="G74" s="9"/>
      <c r="H74" s="9"/>
      <c r="I74" s="9"/>
      <c r="J74" s="9"/>
      <c r="K74" s="9"/>
      <c r="L74" s="9"/>
    </row>
    <row r="75" spans="1:12" ht="12.75">
      <c r="A75" s="4"/>
      <c r="B75" s="4"/>
      <c r="C75" s="188" t="s">
        <v>105</v>
      </c>
      <c r="D75" s="231" t="s">
        <v>175</v>
      </c>
      <c r="E75" s="232"/>
      <c r="F75" s="232"/>
      <c r="G75" s="233"/>
      <c r="H75" s="198">
        <f>SUM(H76:H80)</f>
        <v>0</v>
      </c>
      <c r="I75" s="198">
        <f>SUM(I76:I80)</f>
        <v>0</v>
      </c>
      <c r="J75" s="198">
        <f t="shared" si="3"/>
        <v>0</v>
      </c>
      <c r="K75" s="199"/>
      <c r="L75" s="198">
        <f>SUM(L76:L80)</f>
        <v>0</v>
      </c>
    </row>
    <row r="76" spans="1:12" ht="12.75">
      <c r="A76" s="4" t="s">
        <v>57</v>
      </c>
      <c r="B76" s="4" t="s">
        <v>65</v>
      </c>
      <c r="C76" s="4" t="s">
        <v>118</v>
      </c>
      <c r="D76" s="154" t="s">
        <v>176</v>
      </c>
      <c r="E76" s="4" t="s">
        <v>184</v>
      </c>
      <c r="F76" s="197">
        <v>1</v>
      </c>
      <c r="G76" s="201"/>
      <c r="H76" s="201">
        <f>F76*G76*0.267639902676399</f>
        <v>0</v>
      </c>
      <c r="I76" s="201">
        <f>F76*G76*(1-0.267639902676399)</f>
        <v>0</v>
      </c>
      <c r="J76" s="201">
        <f t="shared" si="3"/>
        <v>0</v>
      </c>
      <c r="K76" s="201">
        <v>0</v>
      </c>
      <c r="L76" s="201">
        <f aca="true" t="shared" si="5" ref="L76:L81">F76*K76</f>
        <v>0</v>
      </c>
    </row>
    <row r="77" spans="1:12" ht="12.75">
      <c r="A77" s="4" t="s">
        <v>58</v>
      </c>
      <c r="B77" s="4" t="s">
        <v>65</v>
      </c>
      <c r="C77" s="4" t="s">
        <v>109</v>
      </c>
      <c r="D77" s="154" t="s">
        <v>165</v>
      </c>
      <c r="E77" s="4" t="s">
        <v>184</v>
      </c>
      <c r="F77" s="197">
        <v>2</v>
      </c>
      <c r="G77" s="201"/>
      <c r="H77" s="201">
        <f>F77*G77*0.641025641025641</f>
        <v>0</v>
      </c>
      <c r="I77" s="201">
        <f>F77*G77*(1-0.641025641025641)</f>
        <v>0</v>
      </c>
      <c r="J77" s="201">
        <f t="shared" si="3"/>
        <v>0</v>
      </c>
      <c r="K77" s="201">
        <v>0</v>
      </c>
      <c r="L77" s="201">
        <f t="shared" si="5"/>
        <v>0</v>
      </c>
    </row>
    <row r="78" spans="1:12" ht="12.75">
      <c r="A78" s="4" t="s">
        <v>59</v>
      </c>
      <c r="B78" s="4" t="s">
        <v>65</v>
      </c>
      <c r="C78" s="4" t="s">
        <v>119</v>
      </c>
      <c r="D78" s="154" t="s">
        <v>177</v>
      </c>
      <c r="E78" s="4" t="s">
        <v>184</v>
      </c>
      <c r="F78" s="197">
        <v>1</v>
      </c>
      <c r="G78" s="201"/>
      <c r="H78" s="201">
        <f>F78*G78*0.818304172274563</f>
        <v>0</v>
      </c>
      <c r="I78" s="201">
        <f>F78*G78*(1-0.818304172274563)</f>
        <v>0</v>
      </c>
      <c r="J78" s="201">
        <f t="shared" si="3"/>
        <v>0</v>
      </c>
      <c r="K78" s="201">
        <v>0</v>
      </c>
      <c r="L78" s="201">
        <f t="shared" si="5"/>
        <v>0</v>
      </c>
    </row>
    <row r="79" spans="1:12" ht="12.75">
      <c r="A79" s="4" t="s">
        <v>60</v>
      </c>
      <c r="B79" s="4" t="s">
        <v>65</v>
      </c>
      <c r="C79" s="4" t="s">
        <v>120</v>
      </c>
      <c r="D79" s="154" t="s">
        <v>178</v>
      </c>
      <c r="E79" s="4" t="s">
        <v>184</v>
      </c>
      <c r="F79" s="197">
        <v>1</v>
      </c>
      <c r="G79" s="201"/>
      <c r="H79" s="201">
        <f>F79*G79*0.747191011235955</f>
        <v>0</v>
      </c>
      <c r="I79" s="201">
        <f>F79*G79*(1-0.747191011235955)</f>
        <v>0</v>
      </c>
      <c r="J79" s="201">
        <f t="shared" si="3"/>
        <v>0</v>
      </c>
      <c r="K79" s="201">
        <v>0</v>
      </c>
      <c r="L79" s="201">
        <f t="shared" si="5"/>
        <v>0</v>
      </c>
    </row>
    <row r="80" spans="1:12" ht="12.75">
      <c r="A80" s="4" t="s">
        <v>61</v>
      </c>
      <c r="B80" s="4" t="s">
        <v>65</v>
      </c>
      <c r="C80" s="4" t="s">
        <v>117</v>
      </c>
      <c r="D80" s="154" t="s">
        <v>174</v>
      </c>
      <c r="E80" s="4" t="s">
        <v>184</v>
      </c>
      <c r="F80" s="197">
        <v>1</v>
      </c>
      <c r="G80" s="201"/>
      <c r="H80" s="201">
        <f>F80*G80*0.743589743589744</f>
        <v>0</v>
      </c>
      <c r="I80" s="201">
        <f>F80*G80*(1-0.743589743589744)</f>
        <v>0</v>
      </c>
      <c r="J80" s="201">
        <f t="shared" si="3"/>
        <v>0</v>
      </c>
      <c r="K80" s="201">
        <v>0</v>
      </c>
      <c r="L80" s="201">
        <f t="shared" si="5"/>
        <v>0</v>
      </c>
    </row>
    <row r="81" spans="1:12" ht="12.75">
      <c r="A81" s="4" t="s">
        <v>285</v>
      </c>
      <c r="B81" s="4" t="s">
        <v>65</v>
      </c>
      <c r="C81" s="4" t="s">
        <v>117</v>
      </c>
      <c r="D81" s="154" t="s">
        <v>277</v>
      </c>
      <c r="E81" s="4" t="s">
        <v>184</v>
      </c>
      <c r="F81" s="197">
        <v>1</v>
      </c>
      <c r="G81" s="201"/>
      <c r="H81" s="201">
        <f>F81*G81*0.743589743589744</f>
        <v>0</v>
      </c>
      <c r="I81" s="201">
        <f>F81*G81*(1-0.743589743589744)</f>
        <v>0</v>
      </c>
      <c r="J81" s="201">
        <f>H81+I81</f>
        <v>0</v>
      </c>
      <c r="K81" s="201">
        <v>0</v>
      </c>
      <c r="L81" s="201">
        <f t="shared" si="5"/>
        <v>0</v>
      </c>
    </row>
    <row r="82" spans="1:12" ht="12.75">
      <c r="A82" s="4"/>
      <c r="B82" s="4"/>
      <c r="C82" s="4"/>
      <c r="D82" s="154"/>
      <c r="E82" s="4"/>
      <c r="F82" s="9"/>
      <c r="G82" s="200"/>
      <c r="H82" s="200"/>
      <c r="I82" s="200"/>
      <c r="J82" s="200"/>
      <c r="K82" s="200"/>
      <c r="L82" s="200"/>
    </row>
    <row r="83" spans="1:12" ht="12.75">
      <c r="A83" s="4"/>
      <c r="B83" s="4"/>
      <c r="C83" s="4"/>
      <c r="D83" s="154"/>
      <c r="E83" s="4"/>
      <c r="F83" s="9"/>
      <c r="G83" s="9"/>
      <c r="H83" s="9"/>
      <c r="I83" s="9"/>
      <c r="J83" s="9"/>
      <c r="K83" s="9"/>
      <c r="L83" s="9"/>
    </row>
    <row r="84" spans="1:12" ht="12.75">
      <c r="A84" s="4"/>
      <c r="B84" s="4"/>
      <c r="C84" s="4"/>
      <c r="D84" s="154"/>
      <c r="E84" s="4"/>
      <c r="F84" s="9"/>
      <c r="G84" s="205"/>
      <c r="H84" s="205"/>
      <c r="I84" s="205"/>
      <c r="J84" s="205"/>
      <c r="K84" s="205"/>
      <c r="L84" s="205"/>
    </row>
    <row r="85" spans="1:12" ht="12.75">
      <c r="A85" s="4"/>
      <c r="B85" s="4"/>
      <c r="C85" s="188" t="s">
        <v>105</v>
      </c>
      <c r="D85" s="231" t="s">
        <v>179</v>
      </c>
      <c r="E85" s="232"/>
      <c r="F85" s="232"/>
      <c r="G85" s="233"/>
      <c r="H85" s="198">
        <f>SUM(H86:H88)</f>
        <v>0</v>
      </c>
      <c r="I85" s="198">
        <f>SUM(I86:I88)</f>
        <v>0</v>
      </c>
      <c r="J85" s="198">
        <f t="shared" si="3"/>
        <v>0</v>
      </c>
      <c r="K85" s="199"/>
      <c r="L85" s="198">
        <f>SUM(L86:L88)</f>
        <v>0</v>
      </c>
    </row>
    <row r="86" spans="1:12" ht="12.75">
      <c r="A86" s="4" t="s">
        <v>286</v>
      </c>
      <c r="B86" s="4" t="s">
        <v>66</v>
      </c>
      <c r="C86" s="4" t="s">
        <v>121</v>
      </c>
      <c r="D86" s="154" t="s">
        <v>180</v>
      </c>
      <c r="E86" s="4" t="s">
        <v>184</v>
      </c>
      <c r="F86" s="197">
        <v>1</v>
      </c>
      <c r="G86" s="201"/>
      <c r="H86" s="201">
        <f>F86*G86*0.890625</f>
        <v>0</v>
      </c>
      <c r="I86" s="201">
        <f>F86*G86*(1-0.890625)</f>
        <v>0</v>
      </c>
      <c r="J86" s="201">
        <f t="shared" si="3"/>
        <v>0</v>
      </c>
      <c r="K86" s="201">
        <v>0</v>
      </c>
      <c r="L86" s="201">
        <f>F86*K86</f>
        <v>0</v>
      </c>
    </row>
    <row r="87" spans="1:12" ht="12.75">
      <c r="A87" s="4" t="s">
        <v>287</v>
      </c>
      <c r="B87" s="4" t="s">
        <v>66</v>
      </c>
      <c r="C87" s="4" t="s">
        <v>107</v>
      </c>
      <c r="D87" s="154" t="s">
        <v>163</v>
      </c>
      <c r="E87" s="4" t="s">
        <v>184</v>
      </c>
      <c r="F87" s="197">
        <v>10</v>
      </c>
      <c r="G87" s="201"/>
      <c r="H87" s="201">
        <f>F87*G87*0.652173913043478</f>
        <v>0</v>
      </c>
      <c r="I87" s="201">
        <f>F87*G87*(1-0.652173913043478)</f>
        <v>0</v>
      </c>
      <c r="J87" s="201">
        <f t="shared" si="3"/>
        <v>0</v>
      </c>
      <c r="K87" s="201">
        <v>0</v>
      </c>
      <c r="L87" s="201">
        <f>F87*K87</f>
        <v>0</v>
      </c>
    </row>
    <row r="88" spans="1:12" ht="12.75">
      <c r="A88" s="4" t="s">
        <v>288</v>
      </c>
      <c r="B88" s="4" t="s">
        <v>66</v>
      </c>
      <c r="C88" s="4" t="s">
        <v>109</v>
      </c>
      <c r="D88" s="154" t="s">
        <v>165</v>
      </c>
      <c r="E88" s="4" t="s">
        <v>184</v>
      </c>
      <c r="F88" s="197">
        <v>5</v>
      </c>
      <c r="G88" s="201"/>
      <c r="H88" s="201">
        <f>F88*G88*0.641025641025641</f>
        <v>0</v>
      </c>
      <c r="I88" s="201">
        <f>F88*G88*(1-0.641025641025641)</f>
        <v>0</v>
      </c>
      <c r="J88" s="201">
        <f>H88+I88</f>
        <v>0</v>
      </c>
      <c r="K88" s="201">
        <v>0</v>
      </c>
      <c r="L88" s="201">
        <f>F88*K88</f>
        <v>0</v>
      </c>
    </row>
    <row r="89" spans="1:12" ht="12.75">
      <c r="A89" s="4"/>
      <c r="B89" s="4"/>
      <c r="C89" s="188" t="s">
        <v>105</v>
      </c>
      <c r="D89" s="231" t="s">
        <v>181</v>
      </c>
      <c r="E89" s="232"/>
      <c r="F89" s="232"/>
      <c r="G89" s="239"/>
      <c r="H89" s="203">
        <f>SUM(H90:H92)</f>
        <v>0</v>
      </c>
      <c r="I89" s="203">
        <f>SUM(I90:I92)</f>
        <v>0</v>
      </c>
      <c r="J89" s="203">
        <f>H89+I89</f>
        <v>0</v>
      </c>
      <c r="K89" s="204"/>
      <c r="L89" s="203">
        <f>SUM(L90:L92)</f>
        <v>0</v>
      </c>
    </row>
    <row r="90" spans="1:12" ht="12.75">
      <c r="A90" s="4" t="s">
        <v>289</v>
      </c>
      <c r="B90" s="4" t="s">
        <v>67</v>
      </c>
      <c r="C90" s="4" t="s">
        <v>121</v>
      </c>
      <c r="D90" s="154" t="s">
        <v>180</v>
      </c>
      <c r="E90" s="4" t="s">
        <v>184</v>
      </c>
      <c r="F90" s="197">
        <v>1</v>
      </c>
      <c r="G90" s="201"/>
      <c r="H90" s="201">
        <f>F90*G90*0.890625</f>
        <v>0</v>
      </c>
      <c r="I90" s="201">
        <f>F90*G90*(1-0.890625)</f>
        <v>0</v>
      </c>
      <c r="J90" s="201">
        <f>H90+I90</f>
        <v>0</v>
      </c>
      <c r="K90" s="201">
        <v>0</v>
      </c>
      <c r="L90" s="201">
        <f>F90*K90</f>
        <v>0</v>
      </c>
    </row>
    <row r="91" spans="1:12" ht="12.75">
      <c r="A91" s="4" t="s">
        <v>290</v>
      </c>
      <c r="B91" s="4" t="s">
        <v>67</v>
      </c>
      <c r="C91" s="4" t="s">
        <v>107</v>
      </c>
      <c r="D91" s="154" t="s">
        <v>163</v>
      </c>
      <c r="E91" s="4" t="s">
        <v>184</v>
      </c>
      <c r="F91" s="197">
        <v>10</v>
      </c>
      <c r="G91" s="201"/>
      <c r="H91" s="201">
        <f>F91*G91*0.652173913043478</f>
        <v>0</v>
      </c>
      <c r="I91" s="201">
        <f>F91*G91*(1-0.652173913043478)</f>
        <v>0</v>
      </c>
      <c r="J91" s="201">
        <f>H91+I91</f>
        <v>0</v>
      </c>
      <c r="K91" s="201">
        <v>0</v>
      </c>
      <c r="L91" s="201">
        <f>F91*K91</f>
        <v>0</v>
      </c>
    </row>
    <row r="92" spans="1:12" ht="12.75">
      <c r="A92" s="4" t="s">
        <v>291</v>
      </c>
      <c r="B92" s="5" t="s">
        <v>67</v>
      </c>
      <c r="C92" s="5" t="s">
        <v>109</v>
      </c>
      <c r="D92" s="155" t="s">
        <v>165</v>
      </c>
      <c r="E92" s="5" t="s">
        <v>184</v>
      </c>
      <c r="F92" s="202">
        <v>5</v>
      </c>
      <c r="G92" s="201"/>
      <c r="H92" s="201">
        <f>F92*G92*0.641025641025641</f>
        <v>0</v>
      </c>
      <c r="I92" s="201">
        <f>F92*G92*(1-0.641025641025641)</f>
        <v>0</v>
      </c>
      <c r="J92" s="201">
        <f>H92+I92</f>
        <v>0</v>
      </c>
      <c r="K92" s="201">
        <v>0</v>
      </c>
      <c r="L92" s="201">
        <f>F92*K92</f>
        <v>0</v>
      </c>
    </row>
    <row r="93" spans="1:12" ht="12.75">
      <c r="A93" s="156"/>
      <c r="B93" s="156"/>
      <c r="C93" s="156"/>
      <c r="D93" s="157"/>
      <c r="E93" s="156"/>
      <c r="F93" s="158"/>
      <c r="G93" s="158"/>
      <c r="H93" s="158"/>
      <c r="I93" s="158"/>
      <c r="J93" s="158"/>
      <c r="K93" s="158"/>
      <c r="L93" s="158"/>
    </row>
    <row r="94" spans="8:10" ht="13.5" thickBot="1">
      <c r="H94" s="189" t="str">
        <f>+H7</f>
        <v>Dodávka</v>
      </c>
      <c r="I94" s="189" t="str">
        <f>+I7</f>
        <v>Montáž</v>
      </c>
      <c r="J94" s="189" t="str">
        <f>+J7</f>
        <v>Celkem</v>
      </c>
    </row>
    <row r="95" spans="1:12" ht="13.5" thickBot="1">
      <c r="A95" s="190" t="s">
        <v>193</v>
      </c>
      <c r="B95" s="191"/>
      <c r="C95" s="192"/>
      <c r="D95" s="229" t="s">
        <v>124</v>
      </c>
      <c r="E95" s="230"/>
      <c r="F95" s="230"/>
      <c r="G95" s="230"/>
      <c r="H95" s="193">
        <f>H11+H29+H59+H75+H85+H89</f>
        <v>0</v>
      </c>
      <c r="I95" s="193">
        <f>I11+I29+I59+I75+I85+I89</f>
        <v>0</v>
      </c>
      <c r="J95" s="193">
        <f>J11+J29+J59+J75+J85+J89</f>
        <v>0</v>
      </c>
      <c r="K95" s="194"/>
      <c r="L95" s="195">
        <f>L11+L29</f>
        <v>0</v>
      </c>
    </row>
    <row r="100" ht="12.75">
      <c r="J100" s="196"/>
    </row>
  </sheetData>
  <mergeCells count="20">
    <mergeCell ref="A1:J1"/>
    <mergeCell ref="D85:G85"/>
    <mergeCell ref="D89:G89"/>
    <mergeCell ref="D29:G29"/>
    <mergeCell ref="D59:G59"/>
    <mergeCell ref="D75:G75"/>
    <mergeCell ref="H6:J6"/>
    <mergeCell ref="G2:H3"/>
    <mergeCell ref="A4:C5"/>
    <mergeCell ref="D2:D3"/>
    <mergeCell ref="D95:G95"/>
    <mergeCell ref="D11:G11"/>
    <mergeCell ref="I4:I5"/>
    <mergeCell ref="E4:F5"/>
    <mergeCell ref="G4:H5"/>
    <mergeCell ref="D4:D5"/>
    <mergeCell ref="A2:C3"/>
    <mergeCell ref="E2:F3"/>
    <mergeCell ref="I2:I3"/>
    <mergeCell ref="K6:L6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</cp:lastModifiedBy>
  <cp:lastPrinted>2011-11-18T09:58:08Z</cp:lastPrinted>
  <dcterms:created xsi:type="dcterms:W3CDTF">2011-10-31T13:30:06Z</dcterms:created>
  <dcterms:modified xsi:type="dcterms:W3CDTF">2011-11-18T09:58:10Z</dcterms:modified>
  <cp:category/>
  <cp:version/>
  <cp:contentType/>
  <cp:contentStatus/>
</cp:coreProperties>
</file>